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ojim/Documents/_Behendigheid/KC Hoogeveen 27-01-2019/"/>
    </mc:Choice>
  </mc:AlternateContent>
  <xr:revisionPtr revIDLastSave="0" documentId="13_ncr:1_{565E0A23-68C5-A145-BD32-AE098533B03B}" xr6:coauthVersionLast="36" xr6:coauthVersionMax="36" xr10:uidLastSave="{00000000-0000-0000-0000-000000000000}"/>
  <bookViews>
    <workbookView xWindow="780" yWindow="960" windowWidth="27140" windowHeight="15260" firstSheet="1" activeTab="8" xr2:uid="{00000000-000D-0000-FFFF-FFFF00000000}"/>
  </bookViews>
  <sheets>
    <sheet name="Lijsten" sheetId="1" r:id="rId1"/>
    <sheet name="Deelnemers" sheetId="2" r:id="rId2"/>
    <sheet name="1L - J" sheetId="3" r:id="rId3"/>
    <sheet name="1L - VP1" sheetId="4" r:id="rId4"/>
    <sheet name="1L - VP2" sheetId="5" r:id="rId5"/>
    <sheet name="1M - J" sheetId="6" r:id="rId6"/>
    <sheet name="1M - VP1" sheetId="7" r:id="rId7"/>
    <sheet name="1M - VP2" sheetId="8" r:id="rId8"/>
    <sheet name="1S - J" sheetId="9" r:id="rId9"/>
    <sheet name="1S - VP1" sheetId="10" r:id="rId10"/>
    <sheet name="1S - VP2" sheetId="11" r:id="rId11"/>
    <sheet name="2L - J" sheetId="12" r:id="rId12"/>
    <sheet name="2L - VP1" sheetId="13" r:id="rId13"/>
    <sheet name="2L - VP2" sheetId="14" r:id="rId14"/>
    <sheet name="2M - J" sheetId="15" r:id="rId15"/>
    <sheet name="2M - VP1" sheetId="16" r:id="rId16"/>
    <sheet name="2M - VP2" sheetId="17" r:id="rId17"/>
    <sheet name="2S - J" sheetId="18" r:id="rId18"/>
    <sheet name="2S - VP1" sheetId="30" r:id="rId19"/>
    <sheet name="2S - VP2" sheetId="20" r:id="rId20"/>
    <sheet name="3L - J" sheetId="21" r:id="rId21"/>
    <sheet name="3L - VP1" sheetId="22" r:id="rId22"/>
    <sheet name="3L - VP2" sheetId="23" r:id="rId23"/>
    <sheet name="3M - J" sheetId="24" r:id="rId24"/>
    <sheet name="3M - VP1" sheetId="25" r:id="rId25"/>
    <sheet name="3M - VP2" sheetId="26" r:id="rId26"/>
    <sheet name="3S - J" sheetId="27" r:id="rId27"/>
    <sheet name="3S - VP1" sheetId="28" r:id="rId28"/>
    <sheet name="3S - VP2" sheetId="29" r:id="rId29"/>
  </sheets>
  <definedNames>
    <definedName name="_xlnm.Print_Area" localSheetId="2">'1L - J'!$B:$N</definedName>
    <definedName name="_xlnm.Print_Area" localSheetId="3">'1L - VP1'!$B:$N</definedName>
    <definedName name="_xlnm.Print_Area" localSheetId="4">'1L - VP2'!$B:$N</definedName>
    <definedName name="_xlnm.Print_Area" localSheetId="5">'1M - J'!$B:$N</definedName>
    <definedName name="_xlnm.Print_Area" localSheetId="6">'1M - VP1'!$B:$N</definedName>
    <definedName name="_xlnm.Print_Area" localSheetId="7">'1M - VP2'!$B:$N</definedName>
    <definedName name="_xlnm.Print_Area" localSheetId="8">'1S - J'!$B:$N</definedName>
    <definedName name="_xlnm.Print_Area" localSheetId="9">'1S - VP1'!$B:$N</definedName>
    <definedName name="_xlnm.Print_Area" localSheetId="10">'1S - VP2'!$B:$N</definedName>
    <definedName name="_xlnm.Print_Area" localSheetId="11">'2L - J'!$B:$N</definedName>
    <definedName name="_xlnm.Print_Area" localSheetId="12">'2L - VP1'!$B:$N</definedName>
    <definedName name="_xlnm.Print_Area" localSheetId="13">'2L - VP2'!$B:$N</definedName>
    <definedName name="_xlnm.Print_Area" localSheetId="14">'2M - J'!$B:$N</definedName>
    <definedName name="_xlnm.Print_Area" localSheetId="15">'2M - VP1'!$B:$N</definedName>
    <definedName name="_xlnm.Print_Area" localSheetId="16">'2M - VP2'!$B:$N</definedName>
    <definedName name="_xlnm.Print_Area" localSheetId="17">'2S - J'!$B:$N</definedName>
    <definedName name="_xlnm.Print_Area" localSheetId="18">'2S - VP1'!$B:$N</definedName>
    <definedName name="_xlnm.Print_Area" localSheetId="19">'2S - VP2'!$B:$N</definedName>
    <definedName name="_xlnm.Print_Area" localSheetId="20">'3L - J'!$B:$N</definedName>
    <definedName name="_xlnm.Print_Area" localSheetId="21">'3L - VP1'!$B:$N</definedName>
    <definedName name="_xlnm.Print_Area" localSheetId="22">'3L - VP2'!$B:$N</definedName>
    <definedName name="_xlnm.Print_Area" localSheetId="23">'3M - J'!$B:$N</definedName>
    <definedName name="_xlnm.Print_Area" localSheetId="24">'3M - VP1'!$B:$N</definedName>
    <definedName name="_xlnm.Print_Area" localSheetId="25">'3M - VP2'!$B:$N</definedName>
    <definedName name="_xlnm.Print_Area" localSheetId="26">'3S - J'!$B:$N</definedName>
    <definedName name="_xlnm.Print_Area" localSheetId="27">'3S - VP1'!$B:$N</definedName>
    <definedName name="_xlnm.Print_Area" localSheetId="28">'3S - VP2'!$B:$N</definedName>
    <definedName name="_xlnm.Print_Titles" localSheetId="2">'1L - J'!$1:$6</definedName>
    <definedName name="_xlnm.Print_Titles" localSheetId="3">'1L - VP1'!$1:$6</definedName>
    <definedName name="_xlnm.Print_Titles" localSheetId="4">'1L - VP2'!$1:$6</definedName>
    <definedName name="_xlnm.Print_Titles" localSheetId="5">'1M - J'!$1:$6</definedName>
    <definedName name="_xlnm.Print_Titles" localSheetId="6">'1M - VP1'!$1:$6</definedName>
    <definedName name="_xlnm.Print_Titles" localSheetId="7">'1M - VP2'!$1:$6</definedName>
    <definedName name="_xlnm.Print_Titles" localSheetId="8">'1S - J'!$1:$6</definedName>
    <definedName name="_xlnm.Print_Titles" localSheetId="9">'1S - VP1'!$1:$6</definedName>
    <definedName name="_xlnm.Print_Titles" localSheetId="10">'1S - VP2'!$1:$6</definedName>
    <definedName name="_xlnm.Print_Titles" localSheetId="11">'2L - J'!$1:$6</definedName>
    <definedName name="_xlnm.Print_Titles" localSheetId="12">'2L - VP1'!$1:$6</definedName>
    <definedName name="_xlnm.Print_Titles" localSheetId="13">'2L - VP2'!$1:$6</definedName>
    <definedName name="_xlnm.Print_Titles" localSheetId="14">'2M - J'!$1:$6</definedName>
    <definedName name="_xlnm.Print_Titles" localSheetId="15">'2M - VP1'!$1:$6</definedName>
    <definedName name="_xlnm.Print_Titles" localSheetId="16">'2M - VP2'!$1:$6</definedName>
    <definedName name="_xlnm.Print_Titles" localSheetId="17">'2S - J'!$1:$6</definedName>
    <definedName name="_xlnm.Print_Titles" localSheetId="18">'2S - VP1'!$1:$6</definedName>
    <definedName name="_xlnm.Print_Titles" localSheetId="19">'2S - VP2'!$1:$6</definedName>
    <definedName name="_xlnm.Print_Titles" localSheetId="20">'3L - J'!$1:$6</definedName>
    <definedName name="_xlnm.Print_Titles" localSheetId="21">'3L - VP1'!$1:$6</definedName>
    <definedName name="_xlnm.Print_Titles" localSheetId="22">'3L - VP2'!$1:$6</definedName>
    <definedName name="_xlnm.Print_Titles" localSheetId="23">'3M - J'!$1:$6</definedName>
    <definedName name="_xlnm.Print_Titles" localSheetId="24">'3M - VP1'!$1:$6</definedName>
    <definedName name="_xlnm.Print_Titles" localSheetId="25">'3M - VP2'!$1:$6</definedName>
    <definedName name="_xlnm.Print_Titles" localSheetId="26">'3S - J'!$1:$6</definedName>
    <definedName name="_xlnm.Print_Titles" localSheetId="27">'3S - VP1'!$1:$6</definedName>
    <definedName name="_xlnm.Print_Titles" localSheetId="28">'3S - VP2'!$1:$6</definedName>
    <definedName name="GroepLijst">Lijsten!$A$2:INDEX(Lijsten!$A:$A,COUNTA(Lijsten!$A:$A))</definedName>
    <definedName name="KeurmeesterLijst">Lijsten!$B$2:INDEX(Lijsten!$B:$B,COUNTA(Lijsten!$B:$B))</definedName>
  </definedNames>
  <calcPr calcId="181029"/>
</workbook>
</file>

<file path=xl/calcChain.xml><?xml version="1.0" encoding="utf-8"?>
<calcChain xmlns="http://schemas.openxmlformats.org/spreadsheetml/2006/main">
  <c r="A8" i="9" l="1"/>
  <c r="D8" i="9"/>
  <c r="E8" i="9"/>
  <c r="F8" i="9"/>
  <c r="M8" i="9"/>
  <c r="P8" i="9" s="1"/>
  <c r="N8" i="9"/>
  <c r="O8" i="9"/>
  <c r="Q8" i="9"/>
  <c r="A10" i="9"/>
  <c r="D10" i="9"/>
  <c r="E10" i="9"/>
  <c r="F10" i="9"/>
  <c r="M10" i="9"/>
  <c r="P10" i="9" s="1"/>
  <c r="N10" i="9"/>
  <c r="O10" i="9"/>
  <c r="Q10" i="9"/>
  <c r="A11" i="9"/>
  <c r="D11" i="9"/>
  <c r="E11" i="9"/>
  <c r="F11" i="9"/>
  <c r="M11" i="9"/>
  <c r="P11" i="9" s="1"/>
  <c r="N11" i="9"/>
  <c r="O11" i="9"/>
  <c r="Q11" i="9"/>
  <c r="A16" i="9"/>
  <c r="D16" i="9"/>
  <c r="E16" i="9"/>
  <c r="F16" i="9"/>
  <c r="M16" i="9"/>
  <c r="P16" i="9" s="1"/>
  <c r="N16" i="9"/>
  <c r="O16" i="9"/>
  <c r="Q16" i="9"/>
  <c r="A12" i="9"/>
  <c r="D12" i="9"/>
  <c r="E12" i="9"/>
  <c r="F12" i="9"/>
  <c r="M12" i="9"/>
  <c r="P12" i="9" s="1"/>
  <c r="N12" i="9"/>
  <c r="O12" i="9"/>
  <c r="Q12" i="9"/>
  <c r="A15" i="9"/>
  <c r="D15" i="9"/>
  <c r="E15" i="9"/>
  <c r="F15" i="9"/>
  <c r="M15" i="9"/>
  <c r="N15" i="9"/>
  <c r="O15" i="9"/>
  <c r="Q15" i="9"/>
  <c r="A14" i="9"/>
  <c r="D14" i="9"/>
  <c r="E14" i="9"/>
  <c r="F14" i="9"/>
  <c r="M14" i="9"/>
  <c r="N14" i="9"/>
  <c r="O14" i="9"/>
  <c r="Q14" i="9"/>
  <c r="A9" i="9"/>
  <c r="D9" i="9"/>
  <c r="E9" i="9"/>
  <c r="F9" i="9"/>
  <c r="N9" i="9"/>
  <c r="O9" i="9"/>
  <c r="M9" i="9" s="1"/>
  <c r="P9" i="9" s="1"/>
  <c r="Q9" i="9"/>
  <c r="A8" i="6"/>
  <c r="D8" i="6"/>
  <c r="E8" i="6"/>
  <c r="F8" i="6"/>
  <c r="M8" i="6"/>
  <c r="P8" i="6" s="1"/>
  <c r="N8" i="6"/>
  <c r="O8" i="6"/>
  <c r="Q8" i="6"/>
  <c r="A14" i="6"/>
  <c r="D14" i="6"/>
  <c r="E14" i="6"/>
  <c r="F14" i="6"/>
  <c r="M14" i="6"/>
  <c r="P14" i="6" s="1"/>
  <c r="N14" i="6"/>
  <c r="O14" i="6"/>
  <c r="Q14" i="6"/>
  <c r="A13" i="6"/>
  <c r="D13" i="6"/>
  <c r="E13" i="6"/>
  <c r="F13" i="6"/>
  <c r="M13" i="6"/>
  <c r="P13" i="6" s="1"/>
  <c r="N13" i="6"/>
  <c r="O13" i="6"/>
  <c r="Q13" i="6"/>
  <c r="A12" i="6"/>
  <c r="D12" i="6"/>
  <c r="E12" i="6"/>
  <c r="F12" i="6"/>
  <c r="M12" i="6"/>
  <c r="P12" i="6" s="1"/>
  <c r="N12" i="6"/>
  <c r="O12" i="6"/>
  <c r="Q12" i="6"/>
  <c r="A11" i="6"/>
  <c r="D11" i="6"/>
  <c r="E11" i="6"/>
  <c r="F11" i="6"/>
  <c r="M11" i="6"/>
  <c r="P11" i="6" s="1"/>
  <c r="N11" i="6"/>
  <c r="O11" i="6"/>
  <c r="Q11" i="6"/>
  <c r="A10" i="6"/>
  <c r="D10" i="6"/>
  <c r="E10" i="6"/>
  <c r="F10" i="6"/>
  <c r="M10" i="6"/>
  <c r="P10" i="6" s="1"/>
  <c r="N10" i="6"/>
  <c r="O10" i="6"/>
  <c r="Q10" i="6"/>
  <c r="A35" i="3"/>
  <c r="D35" i="3"/>
  <c r="E35" i="3"/>
  <c r="F35" i="3"/>
  <c r="M35" i="3"/>
  <c r="P35" i="3" s="1"/>
  <c r="N35" i="3"/>
  <c r="O35" i="3"/>
  <c r="Q35" i="3"/>
  <c r="A34" i="3"/>
  <c r="D34" i="3"/>
  <c r="E34" i="3"/>
  <c r="F34" i="3"/>
  <c r="M34" i="3"/>
  <c r="P34" i="3" s="1"/>
  <c r="N34" i="3"/>
  <c r="O34" i="3"/>
  <c r="Q34" i="3"/>
  <c r="A33" i="3"/>
  <c r="D33" i="3"/>
  <c r="E33" i="3"/>
  <c r="F33" i="3"/>
  <c r="M33" i="3"/>
  <c r="N33" i="3"/>
  <c r="O33" i="3"/>
  <c r="Q33" i="3"/>
  <c r="A19" i="3"/>
  <c r="D19" i="3"/>
  <c r="E19" i="3"/>
  <c r="F19" i="3"/>
  <c r="N19" i="3"/>
  <c r="O19" i="3"/>
  <c r="M19" i="3" s="1"/>
  <c r="P19" i="3" s="1"/>
  <c r="Q19" i="3"/>
  <c r="A32" i="3"/>
  <c r="D32" i="3"/>
  <c r="E32" i="3"/>
  <c r="F32" i="3"/>
  <c r="M32" i="3"/>
  <c r="P32" i="3" s="1"/>
  <c r="N32" i="3"/>
  <c r="O32" i="3"/>
  <c r="Q32" i="3"/>
  <c r="A31" i="3"/>
  <c r="D31" i="3"/>
  <c r="E31" i="3"/>
  <c r="F31" i="3"/>
  <c r="M31" i="3"/>
  <c r="P31" i="3" s="1"/>
  <c r="N31" i="3"/>
  <c r="O31" i="3"/>
  <c r="Q31" i="3"/>
  <c r="A10" i="3"/>
  <c r="D10" i="3"/>
  <c r="E10" i="3"/>
  <c r="F10" i="3"/>
  <c r="M10" i="3"/>
  <c r="P10" i="3" s="1"/>
  <c r="N10" i="3"/>
  <c r="O10" i="3"/>
  <c r="Q10" i="3"/>
  <c r="A16" i="3"/>
  <c r="D16" i="3"/>
  <c r="E16" i="3"/>
  <c r="F16" i="3"/>
  <c r="M16" i="3"/>
  <c r="P16" i="3" s="1"/>
  <c r="N16" i="3"/>
  <c r="O16" i="3"/>
  <c r="Q16" i="3"/>
  <c r="A11" i="3"/>
  <c r="D11" i="3"/>
  <c r="E11" i="3"/>
  <c r="F11" i="3"/>
  <c r="M11" i="3"/>
  <c r="P11" i="3" s="1"/>
  <c r="N11" i="3"/>
  <c r="O11" i="3"/>
  <c r="Q11" i="3"/>
  <c r="A30" i="3"/>
  <c r="D30" i="3"/>
  <c r="E30" i="3"/>
  <c r="F30" i="3"/>
  <c r="M30" i="3"/>
  <c r="P30" i="3" s="1"/>
  <c r="N30" i="3"/>
  <c r="O30" i="3"/>
  <c r="Q30" i="3"/>
  <c r="A29" i="3"/>
  <c r="D29" i="3"/>
  <c r="E29" i="3"/>
  <c r="F29" i="3"/>
  <c r="M29" i="3"/>
  <c r="P29" i="3" s="1"/>
  <c r="N29" i="3"/>
  <c r="O29" i="3"/>
  <c r="Q29" i="3"/>
  <c r="A18" i="3"/>
  <c r="D18" i="3"/>
  <c r="E18" i="3"/>
  <c r="F18" i="3"/>
  <c r="N18" i="3"/>
  <c r="O18" i="3"/>
  <c r="M18" i="3" s="1"/>
  <c r="P18" i="3" s="1"/>
  <c r="Q18" i="3"/>
  <c r="A28" i="3"/>
  <c r="D28" i="3"/>
  <c r="E28" i="3"/>
  <c r="F28" i="3"/>
  <c r="M28" i="3"/>
  <c r="N28" i="3"/>
  <c r="O28" i="3"/>
  <c r="Q28" i="3"/>
  <c r="A27" i="3"/>
  <c r="D27" i="3"/>
  <c r="E27" i="3"/>
  <c r="F27" i="3"/>
  <c r="M27" i="3"/>
  <c r="N27" i="3"/>
  <c r="O27" i="3"/>
  <c r="Q27" i="3"/>
  <c r="A15" i="3"/>
  <c r="D15" i="3"/>
  <c r="E15" i="3"/>
  <c r="F15" i="3"/>
  <c r="N15" i="3"/>
  <c r="O15" i="3"/>
  <c r="M15" i="3" s="1"/>
  <c r="P15" i="3" s="1"/>
  <c r="Q15" i="3"/>
  <c r="A26" i="3"/>
  <c r="D26" i="3"/>
  <c r="E26" i="3"/>
  <c r="F26" i="3"/>
  <c r="M26" i="3"/>
  <c r="N26" i="3"/>
  <c r="O26" i="3"/>
  <c r="Q26" i="3"/>
  <c r="A25" i="3"/>
  <c r="D25" i="3"/>
  <c r="E25" i="3"/>
  <c r="F25" i="3"/>
  <c r="M25" i="3"/>
  <c r="N25" i="3"/>
  <c r="O25" i="3"/>
  <c r="Q25" i="3"/>
  <c r="A13" i="3"/>
  <c r="D13" i="3"/>
  <c r="E13" i="3"/>
  <c r="F13" i="3"/>
  <c r="N13" i="3"/>
  <c r="O13" i="3"/>
  <c r="M13" i="3" s="1"/>
  <c r="P13" i="3" s="1"/>
  <c r="Q13" i="3"/>
  <c r="A24" i="3"/>
  <c r="D24" i="3"/>
  <c r="E24" i="3"/>
  <c r="F24" i="3"/>
  <c r="M24" i="3"/>
  <c r="N24" i="3"/>
  <c r="O24" i="3"/>
  <c r="Q24" i="3"/>
  <c r="A14" i="3"/>
  <c r="D14" i="3"/>
  <c r="E14" i="3"/>
  <c r="F14" i="3"/>
  <c r="N14" i="3"/>
  <c r="O14" i="3"/>
  <c r="M14" i="3" s="1"/>
  <c r="P14" i="3" s="1"/>
  <c r="Q14" i="3"/>
  <c r="A23" i="3"/>
  <c r="D23" i="3"/>
  <c r="E23" i="3"/>
  <c r="F23" i="3"/>
  <c r="M23" i="3"/>
  <c r="N23" i="3"/>
  <c r="O23" i="3"/>
  <c r="Q23" i="3"/>
  <c r="A22" i="3"/>
  <c r="D22" i="3"/>
  <c r="E22" i="3"/>
  <c r="F22" i="3"/>
  <c r="M22" i="3"/>
  <c r="N22" i="3"/>
  <c r="O22" i="3"/>
  <c r="Q22" i="3"/>
  <c r="A9" i="3"/>
  <c r="D9" i="3"/>
  <c r="E9" i="3"/>
  <c r="F9" i="3"/>
  <c r="N9" i="3"/>
  <c r="O9" i="3"/>
  <c r="M9" i="3" s="1"/>
  <c r="P9" i="3" s="1"/>
  <c r="Q9" i="3"/>
  <c r="A8" i="3"/>
  <c r="D8" i="3"/>
  <c r="E8" i="3"/>
  <c r="F8" i="3"/>
  <c r="N8" i="3"/>
  <c r="O8" i="3"/>
  <c r="M8" i="3" s="1"/>
  <c r="P8" i="3" s="1"/>
  <c r="Q8" i="3"/>
  <c r="A21" i="3"/>
  <c r="D21" i="3"/>
  <c r="E21" i="3"/>
  <c r="F21" i="3"/>
  <c r="N21" i="3"/>
  <c r="O21" i="3"/>
  <c r="M21" i="3" s="1"/>
  <c r="P21" i="3" s="1"/>
  <c r="Q21" i="3"/>
  <c r="A17" i="3"/>
  <c r="D17" i="3"/>
  <c r="E17" i="3"/>
  <c r="F17" i="3"/>
  <c r="M17" i="3"/>
  <c r="N17" i="3"/>
  <c r="O17" i="3"/>
  <c r="Q17" i="3"/>
  <c r="A20" i="3"/>
  <c r="D20" i="3"/>
  <c r="E20" i="3"/>
  <c r="F20" i="3"/>
  <c r="N20" i="3"/>
  <c r="O20" i="3"/>
  <c r="M20" i="3" s="1"/>
  <c r="P20" i="3" s="1"/>
  <c r="Q20" i="3"/>
  <c r="P14" i="9" l="1"/>
  <c r="P15" i="9"/>
  <c r="P33" i="3"/>
  <c r="B32" i="3"/>
  <c r="P25" i="3"/>
  <c r="P26" i="3"/>
  <c r="P27" i="3"/>
  <c r="P28" i="3"/>
  <c r="P17" i="3"/>
  <c r="P22" i="3"/>
  <c r="P23" i="3"/>
  <c r="P24" i="3"/>
  <c r="A14" i="12"/>
  <c r="D14" i="12"/>
  <c r="E14" i="12"/>
  <c r="F14" i="12"/>
  <c r="N14" i="12"/>
  <c r="O14" i="12"/>
  <c r="M14" i="12" s="1"/>
  <c r="P14" i="12" s="1"/>
  <c r="Q14" i="12"/>
  <c r="A34" i="12"/>
  <c r="D34" i="12"/>
  <c r="E34" i="12"/>
  <c r="F34" i="12"/>
  <c r="M34" i="12"/>
  <c r="P34" i="12" s="1"/>
  <c r="N34" i="12"/>
  <c r="O34" i="12"/>
  <c r="Q34" i="12"/>
  <c r="A33" i="12"/>
  <c r="D33" i="12"/>
  <c r="E33" i="12"/>
  <c r="F33" i="12"/>
  <c r="M33" i="12"/>
  <c r="P33" i="12" s="1"/>
  <c r="N33" i="12"/>
  <c r="O33" i="12"/>
  <c r="Q33" i="12"/>
  <c r="A24" i="12"/>
  <c r="D24" i="12"/>
  <c r="E24" i="12"/>
  <c r="F24" i="12"/>
  <c r="M24" i="12"/>
  <c r="P24" i="12" s="1"/>
  <c r="N24" i="12"/>
  <c r="O24" i="12"/>
  <c r="Q24" i="12"/>
  <c r="A18" i="12"/>
  <c r="D18" i="12"/>
  <c r="E18" i="12"/>
  <c r="F18" i="12"/>
  <c r="M18" i="12"/>
  <c r="P18" i="12" s="1"/>
  <c r="N18" i="12"/>
  <c r="O18" i="12"/>
  <c r="Q18" i="12"/>
  <c r="A10" i="12"/>
  <c r="D10" i="12"/>
  <c r="E10" i="12"/>
  <c r="F10" i="12"/>
  <c r="M10" i="12"/>
  <c r="P10" i="12" s="1"/>
  <c r="N10" i="12"/>
  <c r="O10" i="12"/>
  <c r="Q10" i="12"/>
  <c r="A8" i="12"/>
  <c r="D8" i="12"/>
  <c r="E8" i="12"/>
  <c r="F8" i="12"/>
  <c r="M8" i="12"/>
  <c r="P8" i="12" s="1"/>
  <c r="N8" i="12"/>
  <c r="O8" i="12"/>
  <c r="Q8" i="12"/>
  <c r="A16" i="12"/>
  <c r="D16" i="12"/>
  <c r="E16" i="12"/>
  <c r="F16" i="12"/>
  <c r="M16" i="12"/>
  <c r="P16" i="12" s="1"/>
  <c r="N16" i="12"/>
  <c r="O16" i="12"/>
  <c r="Q16" i="12"/>
  <c r="A32" i="12"/>
  <c r="D32" i="12"/>
  <c r="E32" i="12"/>
  <c r="F32" i="12"/>
  <c r="M32" i="12"/>
  <c r="P32" i="12" s="1"/>
  <c r="N32" i="12"/>
  <c r="O32" i="12"/>
  <c r="Q32" i="12"/>
  <c r="A31" i="12"/>
  <c r="D31" i="12"/>
  <c r="E31" i="12"/>
  <c r="F31" i="12"/>
  <c r="M31" i="12"/>
  <c r="P31" i="12" s="1"/>
  <c r="N31" i="12"/>
  <c r="O31" i="12"/>
  <c r="Q31" i="12"/>
  <c r="A9" i="12"/>
  <c r="D9" i="12"/>
  <c r="E9" i="12"/>
  <c r="F9" i="12"/>
  <c r="M9" i="12"/>
  <c r="P9" i="12" s="1"/>
  <c r="N9" i="12"/>
  <c r="O9" i="12"/>
  <c r="Q9" i="12"/>
  <c r="A30" i="12"/>
  <c r="D30" i="12"/>
  <c r="E30" i="12"/>
  <c r="F30" i="12"/>
  <c r="M30" i="12"/>
  <c r="P30" i="12" s="1"/>
  <c r="N30" i="12"/>
  <c r="O30" i="12"/>
  <c r="Q30" i="12"/>
  <c r="A29" i="12"/>
  <c r="D29" i="12"/>
  <c r="E29" i="12"/>
  <c r="F29" i="12"/>
  <c r="M29" i="12"/>
  <c r="P29" i="12" s="1"/>
  <c r="N29" i="12"/>
  <c r="O29" i="12"/>
  <c r="Q29" i="12"/>
  <c r="A25" i="12"/>
  <c r="D25" i="12"/>
  <c r="E25" i="12"/>
  <c r="F25" i="12"/>
  <c r="M25" i="12"/>
  <c r="P25" i="12" s="1"/>
  <c r="N25" i="12"/>
  <c r="O25" i="12"/>
  <c r="Q25" i="12"/>
  <c r="A20" i="12"/>
  <c r="D20" i="12"/>
  <c r="E20" i="12"/>
  <c r="F20" i="12"/>
  <c r="M20" i="12"/>
  <c r="N20" i="12"/>
  <c r="O20" i="12"/>
  <c r="Q20" i="12"/>
  <c r="A21" i="12"/>
  <c r="D21" i="12"/>
  <c r="E21" i="12"/>
  <c r="F21" i="12"/>
  <c r="N21" i="12"/>
  <c r="O21" i="12"/>
  <c r="M21" i="12" s="1"/>
  <c r="P21" i="12" s="1"/>
  <c r="Q21" i="12"/>
  <c r="A28" i="12"/>
  <c r="D28" i="12"/>
  <c r="E28" i="12"/>
  <c r="F28" i="12"/>
  <c r="M28" i="12"/>
  <c r="N28" i="12"/>
  <c r="O28" i="12"/>
  <c r="Q28" i="12"/>
  <c r="A27" i="12"/>
  <c r="D27" i="12"/>
  <c r="E27" i="12"/>
  <c r="F27" i="12"/>
  <c r="M27" i="12"/>
  <c r="N27" i="12"/>
  <c r="O27" i="12"/>
  <c r="Q27" i="12"/>
  <c r="A19" i="12"/>
  <c r="D19" i="12"/>
  <c r="E19" i="12"/>
  <c r="F19" i="12"/>
  <c r="N19" i="12"/>
  <c r="O19" i="12"/>
  <c r="M19" i="12" s="1"/>
  <c r="P19" i="12" s="1"/>
  <c r="Q19" i="12"/>
  <c r="A12" i="12"/>
  <c r="D12" i="12"/>
  <c r="E12" i="12"/>
  <c r="F12" i="12"/>
  <c r="N12" i="12"/>
  <c r="O12" i="12"/>
  <c r="M12" i="12" s="1"/>
  <c r="P12" i="12" s="1"/>
  <c r="Q12" i="12"/>
  <c r="A23" i="12"/>
  <c r="D23" i="12"/>
  <c r="E23" i="12"/>
  <c r="F23" i="12"/>
  <c r="N23" i="12"/>
  <c r="O23" i="12"/>
  <c r="M23" i="12" s="1"/>
  <c r="P23" i="12" s="1"/>
  <c r="Q23" i="12"/>
  <c r="A15" i="12"/>
  <c r="D15" i="12"/>
  <c r="E15" i="12"/>
  <c r="F15" i="12"/>
  <c r="N15" i="12"/>
  <c r="O15" i="12"/>
  <c r="M15" i="12" s="1"/>
  <c r="P15" i="12" s="1"/>
  <c r="Q15" i="12"/>
  <c r="A13" i="12"/>
  <c r="D13" i="12"/>
  <c r="E13" i="12"/>
  <c r="F13" i="12"/>
  <c r="N13" i="12"/>
  <c r="O13" i="12"/>
  <c r="M13" i="12" s="1"/>
  <c r="P13" i="12" s="1"/>
  <c r="Q13" i="12"/>
  <c r="A26" i="12"/>
  <c r="D26" i="12"/>
  <c r="E26" i="12"/>
  <c r="F26" i="12"/>
  <c r="M26" i="12"/>
  <c r="N26" i="12"/>
  <c r="O26" i="12"/>
  <c r="Q26" i="12"/>
  <c r="A11" i="12"/>
  <c r="D11" i="12"/>
  <c r="E11" i="12"/>
  <c r="F11" i="12"/>
  <c r="N11" i="12"/>
  <c r="O11" i="12"/>
  <c r="M11" i="12" s="1"/>
  <c r="P11" i="12" s="1"/>
  <c r="Q11" i="12"/>
  <c r="A22" i="12"/>
  <c r="D22" i="12"/>
  <c r="E22" i="12"/>
  <c r="F22" i="12"/>
  <c r="N22" i="12"/>
  <c r="O22" i="12"/>
  <c r="M22" i="12" s="1"/>
  <c r="P22" i="12" s="1"/>
  <c r="Q22" i="12"/>
  <c r="P20" i="12" l="1"/>
  <c r="P27" i="12"/>
  <c r="P28" i="12"/>
  <c r="P26" i="12"/>
  <c r="A12" i="15"/>
  <c r="D12" i="15"/>
  <c r="E12" i="15"/>
  <c r="F12" i="15"/>
  <c r="M12" i="15"/>
  <c r="P12" i="15" s="1"/>
  <c r="N12" i="15"/>
  <c r="O12" i="15"/>
  <c r="Q12" i="15"/>
  <c r="A10" i="15"/>
  <c r="D10" i="15"/>
  <c r="E10" i="15"/>
  <c r="F10" i="15"/>
  <c r="M10" i="15"/>
  <c r="P10" i="15" s="1"/>
  <c r="N10" i="15"/>
  <c r="O10" i="15"/>
  <c r="Q10" i="15"/>
  <c r="A11" i="15"/>
  <c r="D11" i="15"/>
  <c r="E11" i="15"/>
  <c r="F11" i="15"/>
  <c r="M11" i="15"/>
  <c r="N11" i="15"/>
  <c r="O11" i="15"/>
  <c r="Q11" i="15"/>
  <c r="A9" i="15"/>
  <c r="D9" i="15"/>
  <c r="E9" i="15"/>
  <c r="F9" i="15"/>
  <c r="N9" i="15"/>
  <c r="O9" i="15"/>
  <c r="M9" i="15" s="1"/>
  <c r="P9" i="15" s="1"/>
  <c r="Q9" i="15"/>
  <c r="A8" i="18"/>
  <c r="D8" i="18"/>
  <c r="E8" i="18"/>
  <c r="F8" i="18"/>
  <c r="M8" i="18"/>
  <c r="P8" i="18" s="1"/>
  <c r="N8" i="18"/>
  <c r="O8" i="18"/>
  <c r="Q8" i="18"/>
  <c r="A9" i="18"/>
  <c r="D9" i="18"/>
  <c r="E9" i="18"/>
  <c r="F9" i="18"/>
  <c r="N9" i="18"/>
  <c r="O9" i="18"/>
  <c r="M9" i="18" s="1"/>
  <c r="Q9" i="18"/>
  <c r="P11" i="15" l="1"/>
  <c r="P9" i="18"/>
  <c r="A8" i="27"/>
  <c r="D8" i="27"/>
  <c r="E8" i="27"/>
  <c r="F8" i="27"/>
  <c r="M8" i="27"/>
  <c r="P8" i="27" s="1"/>
  <c r="N8" i="27"/>
  <c r="O8" i="27"/>
  <c r="Q8" i="27"/>
  <c r="A11" i="27"/>
  <c r="D11" i="27"/>
  <c r="E11" i="27"/>
  <c r="F11" i="27"/>
  <c r="M11" i="27"/>
  <c r="P11" i="27" s="1"/>
  <c r="N11" i="27"/>
  <c r="O11" i="27"/>
  <c r="Q11" i="27"/>
  <c r="A10" i="27"/>
  <c r="D10" i="27"/>
  <c r="E10" i="27"/>
  <c r="F10" i="27"/>
  <c r="M10" i="27"/>
  <c r="N10" i="27"/>
  <c r="O10" i="27"/>
  <c r="Q10" i="27"/>
  <c r="A8" i="24"/>
  <c r="D8" i="24"/>
  <c r="E8" i="24"/>
  <c r="F8" i="24"/>
  <c r="M8" i="24"/>
  <c r="P8" i="24" s="1"/>
  <c r="N8" i="24"/>
  <c r="O8" i="24"/>
  <c r="Q8" i="24"/>
  <c r="A15" i="24"/>
  <c r="D15" i="24"/>
  <c r="E15" i="24"/>
  <c r="F15" i="24"/>
  <c r="M15" i="24"/>
  <c r="P15" i="24" s="1"/>
  <c r="N15" i="24"/>
  <c r="O15" i="24"/>
  <c r="Q15" i="24"/>
  <c r="A11" i="24"/>
  <c r="D11" i="24"/>
  <c r="E11" i="24"/>
  <c r="F11" i="24"/>
  <c r="M11" i="24"/>
  <c r="N11" i="24"/>
  <c r="O11" i="24"/>
  <c r="Q11" i="24"/>
  <c r="A14" i="24"/>
  <c r="D14" i="24"/>
  <c r="E14" i="24"/>
  <c r="F14" i="24"/>
  <c r="M14" i="24"/>
  <c r="P14" i="24" s="1"/>
  <c r="N14" i="24"/>
  <c r="O14" i="24"/>
  <c r="Q14" i="24"/>
  <c r="A13" i="24"/>
  <c r="D13" i="24"/>
  <c r="E13" i="24"/>
  <c r="F13" i="24"/>
  <c r="M13" i="24"/>
  <c r="P13" i="24" s="1"/>
  <c r="N13" i="24"/>
  <c r="O13" i="24"/>
  <c r="Q13" i="24"/>
  <c r="A9" i="24"/>
  <c r="D9" i="24"/>
  <c r="E9" i="24"/>
  <c r="F9" i="24"/>
  <c r="M9" i="24"/>
  <c r="P9" i="24" s="1"/>
  <c r="N9" i="24"/>
  <c r="O9" i="24"/>
  <c r="Q9" i="24"/>
  <c r="A10" i="24"/>
  <c r="D10" i="24"/>
  <c r="E10" i="24"/>
  <c r="F10" i="24"/>
  <c r="M10" i="24"/>
  <c r="P10" i="24" s="1"/>
  <c r="N10" i="24"/>
  <c r="O10" i="24"/>
  <c r="Q10" i="24"/>
  <c r="A8" i="21"/>
  <c r="D8" i="21"/>
  <c r="E8" i="21"/>
  <c r="F8" i="21"/>
  <c r="N8" i="21"/>
  <c r="O8" i="21"/>
  <c r="M8" i="21" s="1"/>
  <c r="P8" i="21" s="1"/>
  <c r="Q8" i="21"/>
  <c r="A9" i="21"/>
  <c r="D9" i="21"/>
  <c r="E9" i="21"/>
  <c r="F9" i="21"/>
  <c r="N9" i="21"/>
  <c r="O9" i="21"/>
  <c r="M9" i="21" s="1"/>
  <c r="P9" i="21" s="1"/>
  <c r="Q9" i="21"/>
  <c r="A13" i="21"/>
  <c r="D13" i="21"/>
  <c r="E13" i="21"/>
  <c r="F13" i="21"/>
  <c r="M13" i="21"/>
  <c r="N13" i="21"/>
  <c r="O13" i="21"/>
  <c r="Q13" i="21"/>
  <c r="A12" i="21"/>
  <c r="D12" i="21"/>
  <c r="E12" i="21"/>
  <c r="F12" i="21"/>
  <c r="M12" i="21"/>
  <c r="N12" i="21"/>
  <c r="O12" i="21"/>
  <c r="Q12" i="21"/>
  <c r="A11" i="21"/>
  <c r="D11" i="21"/>
  <c r="E11" i="21"/>
  <c r="F11" i="21"/>
  <c r="M11" i="21"/>
  <c r="P11" i="21" s="1"/>
  <c r="N11" i="21"/>
  <c r="O11" i="21"/>
  <c r="Q11" i="21"/>
  <c r="Q11" i="30"/>
  <c r="O11" i="30"/>
  <c r="N11" i="30"/>
  <c r="M11" i="30"/>
  <c r="P11" i="30" s="1"/>
  <c r="F11" i="30"/>
  <c r="E11" i="30"/>
  <c r="D11" i="30"/>
  <c r="A11" i="30"/>
  <c r="Q9" i="30"/>
  <c r="O9" i="30"/>
  <c r="M9" i="30" s="1"/>
  <c r="P9" i="30" s="1"/>
  <c r="N9" i="30"/>
  <c r="F9" i="30"/>
  <c r="E9" i="30"/>
  <c r="D9" i="30"/>
  <c r="A9" i="30"/>
  <c r="Q10" i="30"/>
  <c r="O10" i="30"/>
  <c r="N10" i="30"/>
  <c r="M10" i="30"/>
  <c r="P10" i="30" s="1"/>
  <c r="F10" i="30"/>
  <c r="E10" i="30"/>
  <c r="D10" i="30"/>
  <c r="A10" i="30"/>
  <c r="Q8" i="30"/>
  <c r="O8" i="30"/>
  <c r="N8" i="30"/>
  <c r="M8" i="30"/>
  <c r="P8" i="30" s="1"/>
  <c r="F8" i="30"/>
  <c r="E8" i="30"/>
  <c r="D8" i="30"/>
  <c r="A8" i="30"/>
  <c r="H4" i="30"/>
  <c r="H2" i="30"/>
  <c r="A17" i="11"/>
  <c r="D17" i="11"/>
  <c r="E17" i="11"/>
  <c r="F17" i="11"/>
  <c r="M17" i="11"/>
  <c r="P17" i="11" s="1"/>
  <c r="N17" i="11"/>
  <c r="O17" i="11"/>
  <c r="Q17" i="11"/>
  <c r="A16" i="11"/>
  <c r="D16" i="11"/>
  <c r="E16" i="11"/>
  <c r="F16" i="11"/>
  <c r="M16" i="11"/>
  <c r="P16" i="11" s="1"/>
  <c r="N16" i="11"/>
  <c r="O16" i="11"/>
  <c r="Q16" i="11"/>
  <c r="A9" i="11"/>
  <c r="D9" i="11"/>
  <c r="E9" i="11"/>
  <c r="F9" i="11"/>
  <c r="M9" i="11"/>
  <c r="P9" i="11" s="1"/>
  <c r="N9" i="11"/>
  <c r="O9" i="11"/>
  <c r="Q9" i="11"/>
  <c r="A8" i="11"/>
  <c r="D8" i="11"/>
  <c r="E8" i="11"/>
  <c r="F8" i="11"/>
  <c r="M8" i="11"/>
  <c r="P8" i="11" s="1"/>
  <c r="N8" i="11"/>
  <c r="O8" i="11"/>
  <c r="Q8" i="11"/>
  <c r="A12" i="11"/>
  <c r="D12" i="11"/>
  <c r="E12" i="11"/>
  <c r="F12" i="11"/>
  <c r="N12" i="11"/>
  <c r="O12" i="11"/>
  <c r="M12" i="11" s="1"/>
  <c r="P12" i="11" s="1"/>
  <c r="Q12" i="11"/>
  <c r="A13" i="11"/>
  <c r="D13" i="11"/>
  <c r="E13" i="11"/>
  <c r="F13" i="11"/>
  <c r="N13" i="11"/>
  <c r="O13" i="11"/>
  <c r="M13" i="11" s="1"/>
  <c r="P13" i="11" s="1"/>
  <c r="Q13" i="11"/>
  <c r="A15" i="11"/>
  <c r="D15" i="11"/>
  <c r="E15" i="11"/>
  <c r="F15" i="11"/>
  <c r="M15" i="11"/>
  <c r="N15" i="11"/>
  <c r="O15" i="11"/>
  <c r="Q15" i="11"/>
  <c r="A11" i="11"/>
  <c r="D11" i="11"/>
  <c r="E11" i="11"/>
  <c r="F11" i="11"/>
  <c r="N11" i="11"/>
  <c r="O11" i="11"/>
  <c r="M11" i="11" s="1"/>
  <c r="P11" i="11" s="1"/>
  <c r="Q11" i="11"/>
  <c r="A10" i="11"/>
  <c r="D10" i="11"/>
  <c r="E10" i="11"/>
  <c r="F10" i="11"/>
  <c r="N10" i="11"/>
  <c r="O10" i="11"/>
  <c r="M10" i="11" s="1"/>
  <c r="P10" i="11" s="1"/>
  <c r="Q10" i="11"/>
  <c r="A10" i="8"/>
  <c r="D10" i="8"/>
  <c r="E10" i="8"/>
  <c r="F10" i="8"/>
  <c r="N10" i="8"/>
  <c r="O10" i="8"/>
  <c r="M10" i="8" s="1"/>
  <c r="P10" i="8" s="1"/>
  <c r="Q10" i="8"/>
  <c r="A9" i="8"/>
  <c r="D9" i="8"/>
  <c r="E9" i="8"/>
  <c r="F9" i="8"/>
  <c r="M9" i="8"/>
  <c r="P9" i="8" s="1"/>
  <c r="N9" i="8"/>
  <c r="O9" i="8"/>
  <c r="Q9" i="8"/>
  <c r="A13" i="8"/>
  <c r="D13" i="8"/>
  <c r="E13" i="8"/>
  <c r="F13" i="8"/>
  <c r="M13" i="8"/>
  <c r="P13" i="8" s="1"/>
  <c r="N13" i="8"/>
  <c r="O13" i="8"/>
  <c r="Q13" i="8"/>
  <c r="A12" i="8"/>
  <c r="D12" i="8"/>
  <c r="E12" i="8"/>
  <c r="F12" i="8"/>
  <c r="M12" i="8"/>
  <c r="P12" i="8" s="1"/>
  <c r="N12" i="8"/>
  <c r="O12" i="8"/>
  <c r="Q12" i="8"/>
  <c r="A8" i="8"/>
  <c r="D8" i="8"/>
  <c r="E8" i="8"/>
  <c r="F8" i="8"/>
  <c r="N8" i="8"/>
  <c r="O8" i="8"/>
  <c r="M8" i="8" s="1"/>
  <c r="Q8" i="8"/>
  <c r="A17" i="5"/>
  <c r="D17" i="5"/>
  <c r="E17" i="5"/>
  <c r="F17" i="5"/>
  <c r="M17" i="5"/>
  <c r="P17" i="5" s="1"/>
  <c r="N17" i="5"/>
  <c r="O17" i="5"/>
  <c r="Q17" i="5"/>
  <c r="A36" i="5"/>
  <c r="D36" i="5"/>
  <c r="E36" i="5"/>
  <c r="F36" i="5"/>
  <c r="M36" i="5"/>
  <c r="P36" i="5" s="1"/>
  <c r="N36" i="5"/>
  <c r="O36" i="5"/>
  <c r="Q36" i="5"/>
  <c r="A13" i="5"/>
  <c r="D13" i="5"/>
  <c r="E13" i="5"/>
  <c r="F13" i="5"/>
  <c r="M13" i="5"/>
  <c r="P13" i="5" s="1"/>
  <c r="N13" i="5"/>
  <c r="O13" i="5"/>
  <c r="Q13" i="5"/>
  <c r="A35" i="5"/>
  <c r="D35" i="5"/>
  <c r="E35" i="5"/>
  <c r="F35" i="5"/>
  <c r="M35" i="5"/>
  <c r="P35" i="5" s="1"/>
  <c r="N35" i="5"/>
  <c r="O35" i="5"/>
  <c r="Q35" i="5"/>
  <c r="A20" i="5"/>
  <c r="D20" i="5"/>
  <c r="E20" i="5"/>
  <c r="F20" i="5"/>
  <c r="N20" i="5"/>
  <c r="O20" i="5"/>
  <c r="M20" i="5" s="1"/>
  <c r="P20" i="5" s="1"/>
  <c r="Q20" i="5"/>
  <c r="A34" i="5"/>
  <c r="D34" i="5"/>
  <c r="E34" i="5"/>
  <c r="F34" i="5"/>
  <c r="M34" i="5"/>
  <c r="N34" i="5"/>
  <c r="O34" i="5"/>
  <c r="Q34" i="5"/>
  <c r="A10" i="5"/>
  <c r="D10" i="5"/>
  <c r="E10" i="5"/>
  <c r="F10" i="5"/>
  <c r="N10" i="5"/>
  <c r="O10" i="5"/>
  <c r="M10" i="5" s="1"/>
  <c r="P10" i="5" s="1"/>
  <c r="Q10" i="5"/>
  <c r="A33" i="5"/>
  <c r="D33" i="5"/>
  <c r="E33" i="5"/>
  <c r="F33" i="5"/>
  <c r="M33" i="5"/>
  <c r="N33" i="5"/>
  <c r="O33" i="5"/>
  <c r="Q33" i="5"/>
  <c r="A16" i="5"/>
  <c r="D16" i="5"/>
  <c r="E16" i="5"/>
  <c r="F16" i="5"/>
  <c r="N16" i="5"/>
  <c r="O16" i="5"/>
  <c r="M16" i="5" s="1"/>
  <c r="P16" i="5" s="1"/>
  <c r="Q16" i="5"/>
  <c r="A9" i="5"/>
  <c r="D9" i="5"/>
  <c r="E9" i="5"/>
  <c r="F9" i="5"/>
  <c r="N9" i="5"/>
  <c r="O9" i="5"/>
  <c r="M9" i="5" s="1"/>
  <c r="P9" i="5" s="1"/>
  <c r="Q9" i="5"/>
  <c r="A32" i="5"/>
  <c r="D32" i="5"/>
  <c r="E32" i="5"/>
  <c r="F32" i="5"/>
  <c r="M32" i="5"/>
  <c r="N32" i="5"/>
  <c r="O32" i="5"/>
  <c r="Q32" i="5"/>
  <c r="P10" i="27" l="1"/>
  <c r="P11" i="24"/>
  <c r="P12" i="21"/>
  <c r="P13" i="21"/>
  <c r="B11" i="30"/>
  <c r="B8" i="30"/>
  <c r="B10" i="30"/>
  <c r="P15" i="11"/>
  <c r="P8" i="8"/>
  <c r="P32" i="5"/>
  <c r="P33" i="5"/>
  <c r="P34" i="5"/>
  <c r="A11" i="5"/>
  <c r="D11" i="5"/>
  <c r="E11" i="5"/>
  <c r="F11" i="5"/>
  <c r="N11" i="5"/>
  <c r="O11" i="5"/>
  <c r="M11" i="5" s="1"/>
  <c r="P11" i="5" s="1"/>
  <c r="Q11" i="5"/>
  <c r="A31" i="5"/>
  <c r="D31" i="5"/>
  <c r="E31" i="5"/>
  <c r="F31" i="5"/>
  <c r="M31" i="5"/>
  <c r="N31" i="5"/>
  <c r="O31" i="5"/>
  <c r="Q31" i="5"/>
  <c r="A15" i="5"/>
  <c r="D15" i="5"/>
  <c r="E15" i="5"/>
  <c r="F15" i="5"/>
  <c r="N15" i="5"/>
  <c r="O15" i="5"/>
  <c r="M15" i="5" s="1"/>
  <c r="P15" i="5" s="1"/>
  <c r="Q15" i="5"/>
  <c r="A30" i="5"/>
  <c r="D30" i="5"/>
  <c r="E30" i="5"/>
  <c r="F30" i="5"/>
  <c r="M30" i="5"/>
  <c r="N30" i="5"/>
  <c r="O30" i="5"/>
  <c r="Q30" i="5"/>
  <c r="A29" i="5"/>
  <c r="D29" i="5"/>
  <c r="E29" i="5"/>
  <c r="F29" i="5"/>
  <c r="M29" i="5"/>
  <c r="N29" i="5"/>
  <c r="O29" i="5"/>
  <c r="Q29" i="5"/>
  <c r="A19" i="5"/>
  <c r="D19" i="5"/>
  <c r="E19" i="5"/>
  <c r="F19" i="5"/>
  <c r="N19" i="5"/>
  <c r="O19" i="5"/>
  <c r="M19" i="5" s="1"/>
  <c r="P19" i="5" s="1"/>
  <c r="Q19" i="5"/>
  <c r="A28" i="5"/>
  <c r="D28" i="5"/>
  <c r="E28" i="5"/>
  <c r="F28" i="5"/>
  <c r="M28" i="5"/>
  <c r="P28" i="5" s="1"/>
  <c r="N28" i="5"/>
  <c r="O28" i="5"/>
  <c r="Q28" i="5"/>
  <c r="A27" i="5"/>
  <c r="D27" i="5"/>
  <c r="E27" i="5"/>
  <c r="F27" i="5"/>
  <c r="M27" i="5"/>
  <c r="P27" i="5" s="1"/>
  <c r="N27" i="5"/>
  <c r="O27" i="5"/>
  <c r="Q27" i="5"/>
  <c r="A26" i="5"/>
  <c r="D26" i="5"/>
  <c r="E26" i="5"/>
  <c r="F26" i="5"/>
  <c r="M26" i="5"/>
  <c r="P26" i="5" s="1"/>
  <c r="N26" i="5"/>
  <c r="O26" i="5"/>
  <c r="Q26" i="5"/>
  <c r="A12" i="5"/>
  <c r="D12" i="5"/>
  <c r="E12" i="5"/>
  <c r="F12" i="5"/>
  <c r="M12" i="5"/>
  <c r="P12" i="5" s="1"/>
  <c r="N12" i="5"/>
  <c r="O12" i="5"/>
  <c r="Q12" i="5"/>
  <c r="A18" i="5"/>
  <c r="D18" i="5"/>
  <c r="E18" i="5"/>
  <c r="F18" i="5"/>
  <c r="M18" i="5"/>
  <c r="P18" i="5" s="1"/>
  <c r="N18" i="5"/>
  <c r="O18" i="5"/>
  <c r="Q18" i="5"/>
  <c r="A21" i="5"/>
  <c r="D21" i="5"/>
  <c r="E21" i="5"/>
  <c r="F21" i="5"/>
  <c r="M21" i="5"/>
  <c r="P21" i="5" s="1"/>
  <c r="N21" i="5"/>
  <c r="O21" i="5"/>
  <c r="Q21" i="5"/>
  <c r="A25" i="5"/>
  <c r="D25" i="5"/>
  <c r="E25" i="5"/>
  <c r="F25" i="5"/>
  <c r="M25" i="5"/>
  <c r="P25" i="5" s="1"/>
  <c r="N25" i="5"/>
  <c r="O25" i="5"/>
  <c r="Q25" i="5"/>
  <c r="A8" i="5"/>
  <c r="D8" i="5"/>
  <c r="E8" i="5"/>
  <c r="F8" i="5"/>
  <c r="M8" i="5"/>
  <c r="P8" i="5" s="1"/>
  <c r="N8" i="5"/>
  <c r="O8" i="5"/>
  <c r="Q8" i="5"/>
  <c r="A24" i="5"/>
  <c r="D24" i="5"/>
  <c r="E24" i="5"/>
  <c r="F24" i="5"/>
  <c r="M24" i="5"/>
  <c r="P24" i="5" s="1"/>
  <c r="N24" i="5"/>
  <c r="O24" i="5"/>
  <c r="Q24" i="5"/>
  <c r="A23" i="5"/>
  <c r="D23" i="5"/>
  <c r="E23" i="5"/>
  <c r="F23" i="5"/>
  <c r="M23" i="5"/>
  <c r="P23" i="5" s="1"/>
  <c r="N23" i="5"/>
  <c r="O23" i="5"/>
  <c r="Q23" i="5"/>
  <c r="A22" i="5"/>
  <c r="D22" i="5"/>
  <c r="E22" i="5"/>
  <c r="F22" i="5"/>
  <c r="M22" i="5"/>
  <c r="N22" i="5"/>
  <c r="O22" i="5"/>
  <c r="Q22" i="5"/>
  <c r="A24" i="14"/>
  <c r="D24" i="14"/>
  <c r="E24" i="14"/>
  <c r="F24" i="14"/>
  <c r="N24" i="14"/>
  <c r="O24" i="14"/>
  <c r="M24" i="14" s="1"/>
  <c r="Q24" i="14"/>
  <c r="A21" i="14"/>
  <c r="D21" i="14"/>
  <c r="E21" i="14"/>
  <c r="F21" i="14"/>
  <c r="N21" i="14"/>
  <c r="O21" i="14"/>
  <c r="M21" i="14" s="1"/>
  <c r="P21" i="14" s="1"/>
  <c r="Q21" i="14"/>
  <c r="A36" i="14"/>
  <c r="D36" i="14"/>
  <c r="E36" i="14"/>
  <c r="F36" i="14"/>
  <c r="M36" i="14"/>
  <c r="N36" i="14"/>
  <c r="O36" i="14"/>
  <c r="Q36" i="14"/>
  <c r="A23" i="14"/>
  <c r="D23" i="14"/>
  <c r="E23" i="14"/>
  <c r="F23" i="14"/>
  <c r="N23" i="14"/>
  <c r="O23" i="14"/>
  <c r="M23" i="14" s="1"/>
  <c r="P23" i="14" s="1"/>
  <c r="Q23" i="14"/>
  <c r="A22" i="14"/>
  <c r="D22" i="14"/>
  <c r="E22" i="14"/>
  <c r="F22" i="14"/>
  <c r="N22" i="14"/>
  <c r="O22" i="14"/>
  <c r="M22" i="14" s="1"/>
  <c r="P22" i="14" s="1"/>
  <c r="Q22" i="14"/>
  <c r="A8" i="14"/>
  <c r="D8" i="14"/>
  <c r="E8" i="14"/>
  <c r="F8" i="14"/>
  <c r="N8" i="14"/>
  <c r="O8" i="14"/>
  <c r="M8" i="14" s="1"/>
  <c r="P8" i="14" s="1"/>
  <c r="Q8" i="14"/>
  <c r="A12" i="14"/>
  <c r="D12" i="14"/>
  <c r="E12" i="14"/>
  <c r="F12" i="14"/>
  <c r="N12" i="14"/>
  <c r="O12" i="14"/>
  <c r="M12" i="14" s="1"/>
  <c r="P12" i="14" s="1"/>
  <c r="Q12" i="14"/>
  <c r="A35" i="14"/>
  <c r="D35" i="14"/>
  <c r="E35" i="14"/>
  <c r="F35" i="14"/>
  <c r="M35" i="14"/>
  <c r="N35" i="14"/>
  <c r="O35" i="14"/>
  <c r="Q35" i="14"/>
  <c r="A16" i="14"/>
  <c r="D16" i="14"/>
  <c r="E16" i="14"/>
  <c r="F16" i="14"/>
  <c r="N16" i="14"/>
  <c r="O16" i="14"/>
  <c r="M16" i="14" s="1"/>
  <c r="P16" i="14" s="1"/>
  <c r="Q16" i="14"/>
  <c r="A34" i="14"/>
  <c r="D34" i="14"/>
  <c r="E34" i="14"/>
  <c r="F34" i="14"/>
  <c r="M34" i="14"/>
  <c r="N34" i="14"/>
  <c r="O34" i="14"/>
  <c r="Q34" i="14"/>
  <c r="A33" i="14"/>
  <c r="D33" i="14"/>
  <c r="E33" i="14"/>
  <c r="F33" i="14"/>
  <c r="M33" i="14"/>
  <c r="N33" i="14"/>
  <c r="O33" i="14"/>
  <c r="Q33" i="14"/>
  <c r="A14" i="14"/>
  <c r="D14" i="14"/>
  <c r="E14" i="14"/>
  <c r="F14" i="14"/>
  <c r="N14" i="14"/>
  <c r="O14" i="14"/>
  <c r="M14" i="14" s="1"/>
  <c r="P14" i="14" s="1"/>
  <c r="Q14" i="14"/>
  <c r="A32" i="14"/>
  <c r="D32" i="14"/>
  <c r="E32" i="14"/>
  <c r="F32" i="14"/>
  <c r="M32" i="14"/>
  <c r="P32" i="14" s="1"/>
  <c r="N32" i="14"/>
  <c r="O32" i="14"/>
  <c r="Q32" i="14"/>
  <c r="A20" i="14"/>
  <c r="D20" i="14"/>
  <c r="E20" i="14"/>
  <c r="F20" i="14"/>
  <c r="M20" i="14"/>
  <c r="P20" i="14" s="1"/>
  <c r="N20" i="14"/>
  <c r="O20" i="14"/>
  <c r="Q20" i="14"/>
  <c r="A31" i="14"/>
  <c r="D31" i="14"/>
  <c r="E31" i="14"/>
  <c r="F31" i="14"/>
  <c r="M31" i="14"/>
  <c r="P31" i="14" s="1"/>
  <c r="N31" i="14"/>
  <c r="O31" i="14"/>
  <c r="Q31" i="14"/>
  <c r="A10" i="14"/>
  <c r="D10" i="14"/>
  <c r="E10" i="14"/>
  <c r="F10" i="14"/>
  <c r="M10" i="14"/>
  <c r="P10" i="14" s="1"/>
  <c r="N10" i="14"/>
  <c r="O10" i="14"/>
  <c r="Q10" i="14"/>
  <c r="A9" i="14"/>
  <c r="D9" i="14"/>
  <c r="E9" i="14"/>
  <c r="F9" i="14"/>
  <c r="M9" i="14"/>
  <c r="P9" i="14" s="1"/>
  <c r="N9" i="14"/>
  <c r="O9" i="14"/>
  <c r="Q9" i="14"/>
  <c r="A11" i="14"/>
  <c r="D11" i="14"/>
  <c r="E11" i="14"/>
  <c r="F11" i="14"/>
  <c r="M11" i="14"/>
  <c r="P11" i="14" s="1"/>
  <c r="N11" i="14"/>
  <c r="O11" i="14"/>
  <c r="Q11" i="14"/>
  <c r="A30" i="14"/>
  <c r="D30" i="14"/>
  <c r="E30" i="14"/>
  <c r="F30" i="14"/>
  <c r="M30" i="14"/>
  <c r="P30" i="14" s="1"/>
  <c r="N30" i="14"/>
  <c r="O30" i="14"/>
  <c r="Q30" i="14"/>
  <c r="A29" i="14"/>
  <c r="D29" i="14"/>
  <c r="E29" i="14"/>
  <c r="F29" i="14"/>
  <c r="M29" i="14"/>
  <c r="P29" i="14" s="1"/>
  <c r="N29" i="14"/>
  <c r="O29" i="14"/>
  <c r="Q29" i="14"/>
  <c r="A28" i="14"/>
  <c r="D28" i="14"/>
  <c r="E28" i="14"/>
  <c r="F28" i="14"/>
  <c r="M28" i="14"/>
  <c r="P28" i="14" s="1"/>
  <c r="N28" i="14"/>
  <c r="O28" i="14"/>
  <c r="Q28" i="14"/>
  <c r="A27" i="14"/>
  <c r="D27" i="14"/>
  <c r="E27" i="14"/>
  <c r="F27" i="14"/>
  <c r="M27" i="14"/>
  <c r="P27" i="14" s="1"/>
  <c r="N27" i="14"/>
  <c r="O27" i="14"/>
  <c r="Q27" i="14"/>
  <c r="A19" i="14"/>
  <c r="D19" i="14"/>
  <c r="E19" i="14"/>
  <c r="F19" i="14"/>
  <c r="M19" i="14"/>
  <c r="P19" i="14" s="1"/>
  <c r="N19" i="14"/>
  <c r="O19" i="14"/>
  <c r="Q19" i="14"/>
  <c r="A18" i="14"/>
  <c r="D18" i="14"/>
  <c r="E18" i="14"/>
  <c r="F18" i="14"/>
  <c r="M18" i="14"/>
  <c r="P18" i="14" s="1"/>
  <c r="N18" i="14"/>
  <c r="O18" i="14"/>
  <c r="Q18" i="14"/>
  <c r="A17" i="14"/>
  <c r="D17" i="14"/>
  <c r="E17" i="14"/>
  <c r="F17" i="14"/>
  <c r="N17" i="14"/>
  <c r="O17" i="14"/>
  <c r="M17" i="14" s="1"/>
  <c r="P17" i="14" s="1"/>
  <c r="Q17" i="14"/>
  <c r="A26" i="14"/>
  <c r="D26" i="14"/>
  <c r="E26" i="14"/>
  <c r="F26" i="14"/>
  <c r="M26" i="14"/>
  <c r="N26" i="14"/>
  <c r="O26" i="14"/>
  <c r="Q26" i="14"/>
  <c r="A13" i="14"/>
  <c r="D13" i="14"/>
  <c r="E13" i="14"/>
  <c r="F13" i="14"/>
  <c r="N13" i="14"/>
  <c r="O13" i="14"/>
  <c r="M13" i="14" s="1"/>
  <c r="P13" i="14" s="1"/>
  <c r="Q13" i="14"/>
  <c r="A15" i="14"/>
  <c r="D15" i="14"/>
  <c r="E15" i="14"/>
  <c r="F15" i="14"/>
  <c r="N15" i="14"/>
  <c r="O15" i="14"/>
  <c r="M15" i="14" s="1"/>
  <c r="P15" i="14" s="1"/>
  <c r="Q15" i="14"/>
  <c r="A10" i="17"/>
  <c r="D10" i="17"/>
  <c r="E10" i="17"/>
  <c r="F10" i="17"/>
  <c r="N10" i="17"/>
  <c r="O10" i="17"/>
  <c r="M10" i="17" s="1"/>
  <c r="P10" i="17" s="1"/>
  <c r="Q10" i="17"/>
  <c r="A11" i="17"/>
  <c r="D11" i="17"/>
  <c r="E11" i="17"/>
  <c r="F11" i="17"/>
  <c r="N11" i="17"/>
  <c r="O11" i="17"/>
  <c r="M11" i="17" s="1"/>
  <c r="P11" i="17" s="1"/>
  <c r="Q11" i="17"/>
  <c r="A12" i="17"/>
  <c r="D12" i="17"/>
  <c r="E12" i="17"/>
  <c r="F12" i="17"/>
  <c r="M12" i="17"/>
  <c r="P12" i="17" s="1"/>
  <c r="N12" i="17"/>
  <c r="O12" i="17"/>
  <c r="Q12" i="17"/>
  <c r="A9" i="17"/>
  <c r="D9" i="17"/>
  <c r="E9" i="17"/>
  <c r="F9" i="17"/>
  <c r="M9" i="17"/>
  <c r="P9" i="17" s="1"/>
  <c r="N9" i="17"/>
  <c r="O9" i="17"/>
  <c r="Q9" i="17"/>
  <c r="A11" i="20"/>
  <c r="D11" i="20"/>
  <c r="E11" i="20"/>
  <c r="F11" i="20"/>
  <c r="M11" i="20"/>
  <c r="N11" i="20"/>
  <c r="O11" i="20"/>
  <c r="Q11" i="20"/>
  <c r="A8" i="20"/>
  <c r="D8" i="20"/>
  <c r="E8" i="20"/>
  <c r="F8" i="20"/>
  <c r="N8" i="20"/>
  <c r="O8" i="20"/>
  <c r="M8" i="20" s="1"/>
  <c r="P8" i="20" s="1"/>
  <c r="Q8" i="20"/>
  <c r="A9" i="20"/>
  <c r="D9" i="20"/>
  <c r="E9" i="20"/>
  <c r="F9" i="20"/>
  <c r="N9" i="20"/>
  <c r="O9" i="20"/>
  <c r="M9" i="20" s="1"/>
  <c r="Q9" i="20"/>
  <c r="P33" i="14" l="1"/>
  <c r="P36" i="14"/>
  <c r="B9" i="30"/>
  <c r="P29" i="5"/>
  <c r="P30" i="5"/>
  <c r="P31" i="5"/>
  <c r="B24" i="5"/>
  <c r="P22" i="5"/>
  <c r="P24" i="14"/>
  <c r="P34" i="14"/>
  <c r="P35" i="14"/>
  <c r="B30" i="14"/>
  <c r="B29" i="14"/>
  <c r="P26" i="14"/>
  <c r="P11" i="20"/>
  <c r="P9" i="20"/>
  <c r="A9" i="29"/>
  <c r="D9" i="29"/>
  <c r="E9" i="29"/>
  <c r="F9" i="29"/>
  <c r="M9" i="29"/>
  <c r="P9" i="29" s="1"/>
  <c r="N9" i="29"/>
  <c r="O9" i="29"/>
  <c r="Q9" i="29"/>
  <c r="A11" i="29"/>
  <c r="D11" i="29"/>
  <c r="E11" i="29"/>
  <c r="F11" i="29"/>
  <c r="M11" i="29"/>
  <c r="P11" i="29" s="1"/>
  <c r="N11" i="29"/>
  <c r="O11" i="29"/>
  <c r="Q11" i="29"/>
  <c r="A8" i="29"/>
  <c r="D8" i="29"/>
  <c r="E8" i="29"/>
  <c r="F8" i="29"/>
  <c r="M8" i="29"/>
  <c r="P8" i="29" s="1"/>
  <c r="N8" i="29"/>
  <c r="O8" i="29"/>
  <c r="Q8" i="29"/>
  <c r="A15" i="26"/>
  <c r="D15" i="26"/>
  <c r="E15" i="26"/>
  <c r="F15" i="26"/>
  <c r="M15" i="26"/>
  <c r="P15" i="26" s="1"/>
  <c r="N15" i="26"/>
  <c r="O15" i="26"/>
  <c r="Q15" i="26"/>
  <c r="A9" i="26"/>
  <c r="D9" i="26"/>
  <c r="E9" i="26"/>
  <c r="F9" i="26"/>
  <c r="M9" i="26"/>
  <c r="P9" i="26" s="1"/>
  <c r="N9" i="26"/>
  <c r="O9" i="26"/>
  <c r="Q9" i="26"/>
  <c r="A10" i="26"/>
  <c r="D10" i="26"/>
  <c r="E10" i="26"/>
  <c r="F10" i="26"/>
  <c r="M10" i="26"/>
  <c r="P10" i="26" s="1"/>
  <c r="N10" i="26"/>
  <c r="O10" i="26"/>
  <c r="Q10" i="26"/>
  <c r="A14" i="26"/>
  <c r="D14" i="26"/>
  <c r="E14" i="26"/>
  <c r="F14" i="26"/>
  <c r="M14" i="26"/>
  <c r="P14" i="26" s="1"/>
  <c r="N14" i="26"/>
  <c r="O14" i="26"/>
  <c r="Q14" i="26"/>
  <c r="A11" i="26"/>
  <c r="D11" i="26"/>
  <c r="E11" i="26"/>
  <c r="F11" i="26"/>
  <c r="M11" i="26"/>
  <c r="P11" i="26" s="1"/>
  <c r="N11" i="26"/>
  <c r="O11" i="26"/>
  <c r="Q11" i="26"/>
  <c r="A13" i="26"/>
  <c r="D13" i="26"/>
  <c r="E13" i="26"/>
  <c r="F13" i="26"/>
  <c r="M13" i="26"/>
  <c r="P13" i="26" s="1"/>
  <c r="N13" i="26"/>
  <c r="O13" i="26"/>
  <c r="Q13" i="26"/>
  <c r="A12" i="26"/>
  <c r="D12" i="26"/>
  <c r="E12" i="26"/>
  <c r="F12" i="26"/>
  <c r="M12" i="26"/>
  <c r="P12" i="26" s="1"/>
  <c r="N12" i="26"/>
  <c r="O12" i="26"/>
  <c r="Q12" i="26"/>
  <c r="A12" i="23"/>
  <c r="D12" i="23"/>
  <c r="E12" i="23"/>
  <c r="F12" i="23"/>
  <c r="N12" i="23"/>
  <c r="O12" i="23"/>
  <c r="M12" i="23" s="1"/>
  <c r="P12" i="23" s="1"/>
  <c r="Q12" i="23"/>
  <c r="A9" i="23"/>
  <c r="D9" i="23"/>
  <c r="E9" i="23"/>
  <c r="F9" i="23"/>
  <c r="N9" i="23"/>
  <c r="O9" i="23"/>
  <c r="M9" i="23" s="1"/>
  <c r="P9" i="23" s="1"/>
  <c r="Q9" i="23"/>
  <c r="A13" i="23"/>
  <c r="D13" i="23"/>
  <c r="E13" i="23"/>
  <c r="F13" i="23"/>
  <c r="M13" i="23"/>
  <c r="N13" i="23"/>
  <c r="O13" i="23"/>
  <c r="Q13" i="23"/>
  <c r="A8" i="23"/>
  <c r="D8" i="23"/>
  <c r="E8" i="23"/>
  <c r="F8" i="23"/>
  <c r="N8" i="23"/>
  <c r="O8" i="23"/>
  <c r="M8" i="23" s="1"/>
  <c r="P8" i="23" s="1"/>
  <c r="Q8" i="23"/>
  <c r="A11" i="23"/>
  <c r="D11" i="23"/>
  <c r="E11" i="23"/>
  <c r="F11" i="23"/>
  <c r="N11" i="23"/>
  <c r="O11" i="23"/>
  <c r="M11" i="23" s="1"/>
  <c r="P11" i="23" s="1"/>
  <c r="Q11" i="23"/>
  <c r="P13" i="23" l="1"/>
  <c r="A10" i="10"/>
  <c r="D10" i="10"/>
  <c r="E10" i="10"/>
  <c r="F10" i="10"/>
  <c r="N10" i="10"/>
  <c r="O10" i="10"/>
  <c r="M10" i="10" s="1"/>
  <c r="P10" i="10" s="1"/>
  <c r="Q10" i="10"/>
  <c r="A14" i="10"/>
  <c r="D14" i="10"/>
  <c r="E14" i="10"/>
  <c r="F14" i="10"/>
  <c r="M14" i="10"/>
  <c r="P14" i="10" s="1"/>
  <c r="N14" i="10"/>
  <c r="O14" i="10"/>
  <c r="Q14" i="10"/>
  <c r="A8" i="10"/>
  <c r="D8" i="10"/>
  <c r="E8" i="10"/>
  <c r="F8" i="10"/>
  <c r="M8" i="10"/>
  <c r="P8" i="10" s="1"/>
  <c r="N8" i="10"/>
  <c r="O8" i="10"/>
  <c r="Q8" i="10"/>
  <c r="A9" i="10"/>
  <c r="D9" i="10"/>
  <c r="E9" i="10"/>
  <c r="F9" i="10"/>
  <c r="M9" i="10"/>
  <c r="P9" i="10" s="1"/>
  <c r="N9" i="10"/>
  <c r="O9" i="10"/>
  <c r="Q9" i="10"/>
  <c r="A13" i="10"/>
  <c r="D13" i="10"/>
  <c r="E13" i="10"/>
  <c r="F13" i="10"/>
  <c r="M13" i="10"/>
  <c r="P13" i="10" s="1"/>
  <c r="N13" i="10"/>
  <c r="O13" i="10"/>
  <c r="Q13" i="10"/>
  <c r="A12" i="10"/>
  <c r="D12" i="10"/>
  <c r="E12" i="10"/>
  <c r="F12" i="10"/>
  <c r="M12" i="10"/>
  <c r="P12" i="10" s="1"/>
  <c r="N12" i="10"/>
  <c r="O12" i="10"/>
  <c r="Q12" i="10"/>
  <c r="A11" i="10"/>
  <c r="D11" i="10"/>
  <c r="E11" i="10"/>
  <c r="F11" i="10"/>
  <c r="M11" i="10"/>
  <c r="P11" i="10" s="1"/>
  <c r="N11" i="10"/>
  <c r="O11" i="10"/>
  <c r="Q11" i="10"/>
  <c r="A17" i="10"/>
  <c r="D17" i="10"/>
  <c r="E17" i="10"/>
  <c r="F17" i="10"/>
  <c r="M17" i="10"/>
  <c r="N17" i="10"/>
  <c r="O17" i="10"/>
  <c r="Q17" i="10"/>
  <c r="A16" i="10"/>
  <c r="D16" i="10"/>
  <c r="E16" i="10"/>
  <c r="F16" i="10"/>
  <c r="M16" i="10"/>
  <c r="N16" i="10"/>
  <c r="O16" i="10"/>
  <c r="Q16" i="10"/>
  <c r="A14" i="7"/>
  <c r="D14" i="7"/>
  <c r="E14" i="7"/>
  <c r="F14" i="7"/>
  <c r="M14" i="7"/>
  <c r="P14" i="7" s="1"/>
  <c r="N14" i="7"/>
  <c r="O14" i="7"/>
  <c r="Q14" i="7"/>
  <c r="A13" i="7"/>
  <c r="D13" i="7"/>
  <c r="E13" i="7"/>
  <c r="F13" i="7"/>
  <c r="M13" i="7"/>
  <c r="P13" i="7" s="1"/>
  <c r="N13" i="7"/>
  <c r="O13" i="7"/>
  <c r="Q13" i="7"/>
  <c r="A8" i="7"/>
  <c r="D8" i="7"/>
  <c r="E8" i="7"/>
  <c r="F8" i="7"/>
  <c r="M8" i="7"/>
  <c r="P8" i="7" s="1"/>
  <c r="N8" i="7"/>
  <c r="O8" i="7"/>
  <c r="Q8" i="7"/>
  <c r="A12" i="7"/>
  <c r="D12" i="7"/>
  <c r="E12" i="7"/>
  <c r="F12" i="7"/>
  <c r="M12" i="7"/>
  <c r="P12" i="7" s="1"/>
  <c r="N12" i="7"/>
  <c r="O12" i="7"/>
  <c r="Q12" i="7"/>
  <c r="A9" i="7"/>
  <c r="D9" i="7"/>
  <c r="E9" i="7"/>
  <c r="F9" i="7"/>
  <c r="N9" i="7"/>
  <c r="O9" i="7"/>
  <c r="M9" i="7" s="1"/>
  <c r="P9" i="7" s="1"/>
  <c r="Q9" i="7"/>
  <c r="A11" i="7"/>
  <c r="D11" i="7"/>
  <c r="E11" i="7"/>
  <c r="F11" i="7"/>
  <c r="M11" i="7"/>
  <c r="N11" i="7"/>
  <c r="O11" i="7"/>
  <c r="Q11" i="7"/>
  <c r="A8" i="4"/>
  <c r="D8" i="4"/>
  <c r="E8" i="4"/>
  <c r="F8" i="4"/>
  <c r="M8" i="4"/>
  <c r="P8" i="4" s="1"/>
  <c r="N8" i="4"/>
  <c r="O8" i="4"/>
  <c r="Q8" i="4"/>
  <c r="A36" i="4"/>
  <c r="D36" i="4"/>
  <c r="E36" i="4"/>
  <c r="F36" i="4"/>
  <c r="M36" i="4"/>
  <c r="P36" i="4" s="1"/>
  <c r="N36" i="4"/>
  <c r="O36" i="4"/>
  <c r="Q36" i="4"/>
  <c r="A11" i="4"/>
  <c r="D11" i="4"/>
  <c r="E11" i="4"/>
  <c r="F11" i="4"/>
  <c r="M11" i="4"/>
  <c r="P11" i="4" s="1"/>
  <c r="N11" i="4"/>
  <c r="O11" i="4"/>
  <c r="Q11" i="4"/>
  <c r="A9" i="4"/>
  <c r="D9" i="4"/>
  <c r="E9" i="4"/>
  <c r="F9" i="4"/>
  <c r="M9" i="4"/>
  <c r="P9" i="4" s="1"/>
  <c r="N9" i="4"/>
  <c r="O9" i="4"/>
  <c r="Q9" i="4"/>
  <c r="A35" i="4"/>
  <c r="D35" i="4"/>
  <c r="E35" i="4"/>
  <c r="F35" i="4"/>
  <c r="M35" i="4"/>
  <c r="P35" i="4" s="1"/>
  <c r="N35" i="4"/>
  <c r="O35" i="4"/>
  <c r="Q35" i="4"/>
  <c r="A34" i="4"/>
  <c r="D34" i="4"/>
  <c r="E34" i="4"/>
  <c r="F34" i="4"/>
  <c r="M34" i="4"/>
  <c r="P34" i="4" s="1"/>
  <c r="N34" i="4"/>
  <c r="O34" i="4"/>
  <c r="Q34" i="4"/>
  <c r="A17" i="4"/>
  <c r="D17" i="4"/>
  <c r="E17" i="4"/>
  <c r="F17" i="4"/>
  <c r="M17" i="4"/>
  <c r="P17" i="4" s="1"/>
  <c r="N17" i="4"/>
  <c r="O17" i="4"/>
  <c r="Q17" i="4"/>
  <c r="A33" i="4"/>
  <c r="D33" i="4"/>
  <c r="E33" i="4"/>
  <c r="F33" i="4"/>
  <c r="M33" i="4"/>
  <c r="N33" i="4"/>
  <c r="O33" i="4"/>
  <c r="Q33" i="4"/>
  <c r="A32" i="4"/>
  <c r="D32" i="4"/>
  <c r="E32" i="4"/>
  <c r="F32" i="4"/>
  <c r="M32" i="4"/>
  <c r="P32" i="4" s="1"/>
  <c r="N32" i="4"/>
  <c r="O32" i="4"/>
  <c r="Q32" i="4"/>
  <c r="A31" i="4"/>
  <c r="D31" i="4"/>
  <c r="E31" i="4"/>
  <c r="F31" i="4"/>
  <c r="M31" i="4"/>
  <c r="P31" i="4" s="1"/>
  <c r="N31" i="4"/>
  <c r="O31" i="4"/>
  <c r="Q31" i="4"/>
  <c r="A30" i="4"/>
  <c r="D30" i="4"/>
  <c r="E30" i="4"/>
  <c r="F30" i="4"/>
  <c r="M30" i="4"/>
  <c r="P30" i="4" s="1"/>
  <c r="N30" i="4"/>
  <c r="O30" i="4"/>
  <c r="Q30" i="4"/>
  <c r="A16" i="4"/>
  <c r="D16" i="4"/>
  <c r="E16" i="4"/>
  <c r="F16" i="4"/>
  <c r="N16" i="4"/>
  <c r="O16" i="4"/>
  <c r="M16" i="4" s="1"/>
  <c r="P16" i="4" s="1"/>
  <c r="Q16" i="4"/>
  <c r="A29" i="4"/>
  <c r="D29" i="4"/>
  <c r="E29" i="4"/>
  <c r="F29" i="4"/>
  <c r="M29" i="4"/>
  <c r="N29" i="4"/>
  <c r="O29" i="4"/>
  <c r="Q29" i="4"/>
  <c r="A28" i="4"/>
  <c r="D28" i="4"/>
  <c r="E28" i="4"/>
  <c r="F28" i="4"/>
  <c r="M28" i="4"/>
  <c r="N28" i="4"/>
  <c r="O28" i="4"/>
  <c r="Q28" i="4"/>
  <c r="A27" i="4"/>
  <c r="D27" i="4"/>
  <c r="E27" i="4"/>
  <c r="F27" i="4"/>
  <c r="M27" i="4"/>
  <c r="P27" i="4" s="1"/>
  <c r="N27" i="4"/>
  <c r="O27" i="4"/>
  <c r="Q27" i="4"/>
  <c r="A26" i="4"/>
  <c r="D26" i="4"/>
  <c r="E26" i="4"/>
  <c r="F26" i="4"/>
  <c r="M26" i="4"/>
  <c r="P26" i="4" s="1"/>
  <c r="N26" i="4"/>
  <c r="O26" i="4"/>
  <c r="Q26" i="4"/>
  <c r="A25" i="4"/>
  <c r="D25" i="4"/>
  <c r="E25" i="4"/>
  <c r="F25" i="4"/>
  <c r="M25" i="4"/>
  <c r="P25" i="4" s="1"/>
  <c r="N25" i="4"/>
  <c r="O25" i="4"/>
  <c r="Q25" i="4"/>
  <c r="A24" i="4"/>
  <c r="D24" i="4"/>
  <c r="E24" i="4"/>
  <c r="F24" i="4"/>
  <c r="M24" i="4"/>
  <c r="P24" i="4" s="1"/>
  <c r="N24" i="4"/>
  <c r="O24" i="4"/>
  <c r="Q24" i="4"/>
  <c r="A23" i="4"/>
  <c r="D23" i="4"/>
  <c r="E23" i="4"/>
  <c r="F23" i="4"/>
  <c r="M23" i="4"/>
  <c r="P23" i="4" s="1"/>
  <c r="N23" i="4"/>
  <c r="O23" i="4"/>
  <c r="Q23" i="4"/>
  <c r="A12" i="4"/>
  <c r="D12" i="4"/>
  <c r="E12" i="4"/>
  <c r="F12" i="4"/>
  <c r="M12" i="4"/>
  <c r="P12" i="4" s="1"/>
  <c r="N12" i="4"/>
  <c r="O12" i="4"/>
  <c r="Q12" i="4"/>
  <c r="A22" i="4"/>
  <c r="D22" i="4"/>
  <c r="E22" i="4"/>
  <c r="F22" i="4"/>
  <c r="M22" i="4"/>
  <c r="P22" i="4" s="1"/>
  <c r="N22" i="4"/>
  <c r="O22" i="4"/>
  <c r="Q22" i="4"/>
  <c r="A14" i="4"/>
  <c r="D14" i="4"/>
  <c r="E14" i="4"/>
  <c r="F14" i="4"/>
  <c r="M14" i="4"/>
  <c r="P14" i="4" s="1"/>
  <c r="N14" i="4"/>
  <c r="O14" i="4"/>
  <c r="Q14" i="4"/>
  <c r="A21" i="4"/>
  <c r="D21" i="4"/>
  <c r="E21" i="4"/>
  <c r="F21" i="4"/>
  <c r="M21" i="4"/>
  <c r="P21" i="4" s="1"/>
  <c r="N21" i="4"/>
  <c r="O21" i="4"/>
  <c r="Q21" i="4"/>
  <c r="A20" i="4"/>
  <c r="D20" i="4"/>
  <c r="E20" i="4"/>
  <c r="F20" i="4"/>
  <c r="M20" i="4"/>
  <c r="P20" i="4" s="1"/>
  <c r="N20" i="4"/>
  <c r="O20" i="4"/>
  <c r="Q20" i="4"/>
  <c r="A13" i="4"/>
  <c r="D13" i="4"/>
  <c r="E13" i="4"/>
  <c r="F13" i="4"/>
  <c r="M13" i="4"/>
  <c r="P13" i="4" s="1"/>
  <c r="N13" i="4"/>
  <c r="O13" i="4"/>
  <c r="Q13" i="4"/>
  <c r="A19" i="4"/>
  <c r="D19" i="4"/>
  <c r="E19" i="4"/>
  <c r="F19" i="4"/>
  <c r="M19" i="4"/>
  <c r="P19" i="4" s="1"/>
  <c r="N19" i="4"/>
  <c r="O19" i="4"/>
  <c r="Q19" i="4"/>
  <c r="A15" i="4"/>
  <c r="D15" i="4"/>
  <c r="E15" i="4"/>
  <c r="F15" i="4"/>
  <c r="N15" i="4"/>
  <c r="O15" i="4"/>
  <c r="M15" i="4" s="1"/>
  <c r="P15" i="4" s="1"/>
  <c r="Q15" i="4"/>
  <c r="A18" i="4"/>
  <c r="D18" i="4"/>
  <c r="E18" i="4"/>
  <c r="F18" i="4"/>
  <c r="M18" i="4"/>
  <c r="N18" i="4"/>
  <c r="O18" i="4"/>
  <c r="Q18" i="4"/>
  <c r="P16" i="10" l="1"/>
  <c r="P17" i="10"/>
  <c r="B14" i="7"/>
  <c r="P11" i="7"/>
  <c r="P33" i="4"/>
  <c r="P28" i="4"/>
  <c r="P29" i="4"/>
  <c r="P18" i="4"/>
  <c r="A12" i="13"/>
  <c r="D12" i="13"/>
  <c r="E12" i="13"/>
  <c r="F12" i="13"/>
  <c r="M12" i="13"/>
  <c r="P12" i="13" s="1"/>
  <c r="N12" i="13"/>
  <c r="O12" i="13"/>
  <c r="Q12" i="13"/>
  <c r="A11" i="13"/>
  <c r="D11" i="13"/>
  <c r="E11" i="13"/>
  <c r="F11" i="13"/>
  <c r="N11" i="13"/>
  <c r="O11" i="13"/>
  <c r="M11" i="13" s="1"/>
  <c r="P11" i="13" s="1"/>
  <c r="Q11" i="13"/>
  <c r="A36" i="13"/>
  <c r="D36" i="13"/>
  <c r="E36" i="13"/>
  <c r="F36" i="13"/>
  <c r="M36" i="13"/>
  <c r="N36" i="13"/>
  <c r="O36" i="13"/>
  <c r="Q36" i="13"/>
  <c r="A35" i="13"/>
  <c r="D35" i="13"/>
  <c r="E35" i="13"/>
  <c r="F35" i="13"/>
  <c r="M35" i="13"/>
  <c r="N35" i="13"/>
  <c r="O35" i="13"/>
  <c r="Q35" i="13"/>
  <c r="A34" i="13"/>
  <c r="D34" i="13"/>
  <c r="E34" i="13"/>
  <c r="F34" i="13"/>
  <c r="M34" i="13"/>
  <c r="N34" i="13"/>
  <c r="O34" i="13"/>
  <c r="Q34" i="13"/>
  <c r="A33" i="13"/>
  <c r="D33" i="13"/>
  <c r="E33" i="13"/>
  <c r="F33" i="13"/>
  <c r="M33" i="13"/>
  <c r="N33" i="13"/>
  <c r="O33" i="13"/>
  <c r="Q33" i="13"/>
  <c r="A15" i="13"/>
  <c r="D15" i="13"/>
  <c r="E15" i="13"/>
  <c r="F15" i="13"/>
  <c r="N15" i="13"/>
  <c r="O15" i="13"/>
  <c r="M15" i="13" s="1"/>
  <c r="P15" i="13" s="1"/>
  <c r="Q15" i="13"/>
  <c r="A32" i="13"/>
  <c r="D32" i="13"/>
  <c r="E32" i="13"/>
  <c r="F32" i="13"/>
  <c r="M32" i="13"/>
  <c r="N32" i="13"/>
  <c r="O32" i="13"/>
  <c r="Q32" i="13"/>
  <c r="A10" i="13"/>
  <c r="D10" i="13"/>
  <c r="E10" i="13"/>
  <c r="F10" i="13"/>
  <c r="N10" i="13"/>
  <c r="O10" i="13"/>
  <c r="M10" i="13" s="1"/>
  <c r="P10" i="13" s="1"/>
  <c r="Q10" i="13"/>
  <c r="A20" i="13"/>
  <c r="D20" i="13"/>
  <c r="E20" i="13"/>
  <c r="F20" i="13"/>
  <c r="M20" i="13"/>
  <c r="N20" i="13"/>
  <c r="O20" i="13"/>
  <c r="Q20" i="13"/>
  <c r="A19" i="13"/>
  <c r="D19" i="13"/>
  <c r="E19" i="13"/>
  <c r="F19" i="13"/>
  <c r="M19" i="13"/>
  <c r="N19" i="13"/>
  <c r="O19" i="13"/>
  <c r="Q19" i="13"/>
  <c r="A31" i="13"/>
  <c r="D31" i="13"/>
  <c r="E31" i="13"/>
  <c r="F31" i="13"/>
  <c r="M31" i="13"/>
  <c r="N31" i="13"/>
  <c r="O31" i="13"/>
  <c r="Q31" i="13"/>
  <c r="A17" i="13"/>
  <c r="D17" i="13"/>
  <c r="E17" i="13"/>
  <c r="F17" i="13"/>
  <c r="N17" i="13"/>
  <c r="O17" i="13"/>
  <c r="M17" i="13" s="1"/>
  <c r="P17" i="13" s="1"/>
  <c r="Q17" i="13"/>
  <c r="A13" i="13"/>
  <c r="D13" i="13"/>
  <c r="E13" i="13"/>
  <c r="F13" i="13"/>
  <c r="N13" i="13"/>
  <c r="O13" i="13"/>
  <c r="M13" i="13" s="1"/>
  <c r="P13" i="13" s="1"/>
  <c r="Q13" i="13"/>
  <c r="A8" i="13"/>
  <c r="D8" i="13"/>
  <c r="E8" i="13"/>
  <c r="F8" i="13"/>
  <c r="N8" i="13"/>
  <c r="O8" i="13"/>
  <c r="M8" i="13" s="1"/>
  <c r="P8" i="13" s="1"/>
  <c r="Q8" i="13"/>
  <c r="A30" i="13"/>
  <c r="D30" i="13"/>
  <c r="E30" i="13"/>
  <c r="F30" i="13"/>
  <c r="M30" i="13"/>
  <c r="N30" i="13"/>
  <c r="O30" i="13"/>
  <c r="Q30" i="13"/>
  <c r="A29" i="13"/>
  <c r="D29" i="13"/>
  <c r="E29" i="13"/>
  <c r="F29" i="13"/>
  <c r="M29" i="13"/>
  <c r="N29" i="13"/>
  <c r="O29" i="13"/>
  <c r="Q29" i="13"/>
  <c r="A14" i="13"/>
  <c r="D14" i="13"/>
  <c r="E14" i="13"/>
  <c r="F14" i="13"/>
  <c r="N14" i="13"/>
  <c r="O14" i="13"/>
  <c r="M14" i="13" s="1"/>
  <c r="P14" i="13" s="1"/>
  <c r="Q14" i="13"/>
  <c r="A28" i="13"/>
  <c r="D28" i="13"/>
  <c r="E28" i="13"/>
  <c r="F28" i="13"/>
  <c r="M28" i="13"/>
  <c r="N28" i="13"/>
  <c r="O28" i="13"/>
  <c r="Q28" i="13"/>
  <c r="A9" i="13"/>
  <c r="D9" i="13"/>
  <c r="E9" i="13"/>
  <c r="F9" i="13"/>
  <c r="N9" i="13"/>
  <c r="O9" i="13"/>
  <c r="M9" i="13" s="1"/>
  <c r="P9" i="13" s="1"/>
  <c r="Q9" i="13"/>
  <c r="A27" i="13"/>
  <c r="D27" i="13"/>
  <c r="E27" i="13"/>
  <c r="F27" i="13"/>
  <c r="M27" i="13"/>
  <c r="N27" i="13"/>
  <c r="O27" i="13"/>
  <c r="Q27" i="13"/>
  <c r="A26" i="13"/>
  <c r="D26" i="13"/>
  <c r="E26" i="13"/>
  <c r="F26" i="13"/>
  <c r="M26" i="13"/>
  <c r="N26" i="13"/>
  <c r="O26" i="13"/>
  <c r="Q26" i="13"/>
  <c r="A25" i="13"/>
  <c r="D25" i="13"/>
  <c r="E25" i="13"/>
  <c r="F25" i="13"/>
  <c r="M25" i="13"/>
  <c r="N25" i="13"/>
  <c r="O25" i="13"/>
  <c r="Q25" i="13"/>
  <c r="A18" i="13"/>
  <c r="D18" i="13"/>
  <c r="E18" i="13"/>
  <c r="F18" i="13"/>
  <c r="N18" i="13"/>
  <c r="O18" i="13"/>
  <c r="M18" i="13" s="1"/>
  <c r="P18" i="13" s="1"/>
  <c r="Q18" i="13"/>
  <c r="A16" i="13"/>
  <c r="D16" i="13"/>
  <c r="E16" i="13"/>
  <c r="F16" i="13"/>
  <c r="N16" i="13"/>
  <c r="O16" i="13"/>
  <c r="M16" i="13" s="1"/>
  <c r="P16" i="13" s="1"/>
  <c r="Q16" i="13"/>
  <c r="A24" i="13"/>
  <c r="D24" i="13"/>
  <c r="E24" i="13"/>
  <c r="F24" i="13"/>
  <c r="M24" i="13"/>
  <c r="N24" i="13"/>
  <c r="O24" i="13"/>
  <c r="Q24" i="13"/>
  <c r="A23" i="13"/>
  <c r="D23" i="13"/>
  <c r="E23" i="13"/>
  <c r="F23" i="13"/>
  <c r="M23" i="13"/>
  <c r="N23" i="13"/>
  <c r="O23" i="13"/>
  <c r="Q23" i="13"/>
  <c r="A22" i="13"/>
  <c r="D22" i="13"/>
  <c r="E22" i="13"/>
  <c r="F22" i="13"/>
  <c r="M22" i="13"/>
  <c r="N22" i="13"/>
  <c r="O22" i="13"/>
  <c r="Q22" i="13"/>
  <c r="A13" i="22"/>
  <c r="D13" i="22"/>
  <c r="E13" i="22"/>
  <c r="F13" i="22"/>
  <c r="M13" i="22"/>
  <c r="P13" i="22" s="1"/>
  <c r="N13" i="22"/>
  <c r="O13" i="22"/>
  <c r="Q13" i="22"/>
  <c r="A12" i="22"/>
  <c r="D12" i="22"/>
  <c r="E12" i="22"/>
  <c r="F12" i="22"/>
  <c r="M12" i="22"/>
  <c r="P12" i="22" s="1"/>
  <c r="N12" i="22"/>
  <c r="O12" i="22"/>
  <c r="Q12" i="22"/>
  <c r="A11" i="22"/>
  <c r="D11" i="22"/>
  <c r="E11" i="22"/>
  <c r="F11" i="22"/>
  <c r="M11" i="22"/>
  <c r="P11" i="22" s="1"/>
  <c r="N11" i="22"/>
  <c r="O11" i="22"/>
  <c r="Q11" i="22"/>
  <c r="A10" i="22"/>
  <c r="D10" i="22"/>
  <c r="E10" i="22"/>
  <c r="F10" i="22"/>
  <c r="M10" i="22"/>
  <c r="N10" i="22"/>
  <c r="O10" i="22"/>
  <c r="Q10" i="22"/>
  <c r="A9" i="22"/>
  <c r="D9" i="22"/>
  <c r="E9" i="22"/>
  <c r="F9" i="22"/>
  <c r="M9" i="22"/>
  <c r="P9" i="22" s="1"/>
  <c r="N9" i="22"/>
  <c r="O9" i="22"/>
  <c r="Q9" i="22"/>
  <c r="A9" i="25"/>
  <c r="D9" i="25"/>
  <c r="E9" i="25"/>
  <c r="F9" i="25"/>
  <c r="N9" i="25"/>
  <c r="O9" i="25"/>
  <c r="M9" i="25" s="1"/>
  <c r="P9" i="25" s="1"/>
  <c r="Q9" i="25"/>
  <c r="A12" i="25"/>
  <c r="D12" i="25"/>
  <c r="E12" i="25"/>
  <c r="F12" i="25"/>
  <c r="N12" i="25"/>
  <c r="O12" i="25"/>
  <c r="M12" i="25" s="1"/>
  <c r="P12" i="25" s="1"/>
  <c r="Q12" i="25"/>
  <c r="A10" i="25"/>
  <c r="D10" i="25"/>
  <c r="E10" i="25"/>
  <c r="F10" i="25"/>
  <c r="N10" i="25"/>
  <c r="O10" i="25"/>
  <c r="M10" i="25" s="1"/>
  <c r="P10" i="25" s="1"/>
  <c r="Q10" i="25"/>
  <c r="A14" i="25"/>
  <c r="D14" i="25"/>
  <c r="E14" i="25"/>
  <c r="F14" i="25"/>
  <c r="N14" i="25"/>
  <c r="O14" i="25"/>
  <c r="M14" i="25" s="1"/>
  <c r="P14" i="25" s="1"/>
  <c r="Q14" i="25"/>
  <c r="A15" i="25"/>
  <c r="D15" i="25"/>
  <c r="E15" i="25"/>
  <c r="F15" i="25"/>
  <c r="M15" i="25"/>
  <c r="P15" i="25" s="1"/>
  <c r="N15" i="25"/>
  <c r="O15" i="25"/>
  <c r="Q15" i="25"/>
  <c r="A8" i="25"/>
  <c r="D8" i="25"/>
  <c r="E8" i="25"/>
  <c r="F8" i="25"/>
  <c r="M8" i="25"/>
  <c r="P8" i="25" s="1"/>
  <c r="N8" i="25"/>
  <c r="O8" i="25"/>
  <c r="Q8" i="25"/>
  <c r="A13" i="25"/>
  <c r="D13" i="25"/>
  <c r="E13" i="25"/>
  <c r="F13" i="25"/>
  <c r="N13" i="25"/>
  <c r="O13" i="25"/>
  <c r="M13" i="25" s="1"/>
  <c r="P13" i="25" s="1"/>
  <c r="Q13" i="25"/>
  <c r="A12" i="16"/>
  <c r="D12" i="16"/>
  <c r="E12" i="16"/>
  <c r="F12" i="16"/>
  <c r="M12" i="16"/>
  <c r="P12" i="16" s="1"/>
  <c r="N12" i="16"/>
  <c r="O12" i="16"/>
  <c r="Q12" i="16"/>
  <c r="A11" i="16"/>
  <c r="D11" i="16"/>
  <c r="E11" i="16"/>
  <c r="F11" i="16"/>
  <c r="M11" i="16"/>
  <c r="P11" i="16" s="1"/>
  <c r="N11" i="16"/>
  <c r="O11" i="16"/>
  <c r="Q11" i="16"/>
  <c r="A10" i="16"/>
  <c r="D10" i="16"/>
  <c r="E10" i="16"/>
  <c r="F10" i="16"/>
  <c r="M10" i="16"/>
  <c r="P10" i="16" s="1"/>
  <c r="N10" i="16"/>
  <c r="O10" i="16"/>
  <c r="Q10" i="16"/>
  <c r="A8" i="16"/>
  <c r="D8" i="16"/>
  <c r="E8" i="16"/>
  <c r="F8" i="16"/>
  <c r="M8" i="16"/>
  <c r="N8" i="16"/>
  <c r="O8" i="16"/>
  <c r="Q8" i="16"/>
  <c r="A9" i="28"/>
  <c r="A10" i="28"/>
  <c r="A11" i="28"/>
  <c r="D9" i="28"/>
  <c r="D10" i="28"/>
  <c r="D11" i="28"/>
  <c r="E9" i="28"/>
  <c r="E10" i="28"/>
  <c r="E11" i="28"/>
  <c r="F9" i="28"/>
  <c r="F10" i="28"/>
  <c r="F11" i="28"/>
  <c r="M9" i="28"/>
  <c r="M10" i="28"/>
  <c r="B10" i="28" s="1"/>
  <c r="M11" i="28"/>
  <c r="P11" i="28" s="1"/>
  <c r="N9" i="28"/>
  <c r="N10" i="28"/>
  <c r="N11" i="28"/>
  <c r="O9" i="28"/>
  <c r="O10" i="28"/>
  <c r="O11" i="28"/>
  <c r="Q9" i="28"/>
  <c r="Q10" i="28"/>
  <c r="Q11" i="28"/>
  <c r="P33" i="13" l="1"/>
  <c r="P34" i="13"/>
  <c r="P35" i="13"/>
  <c r="P36" i="13"/>
  <c r="P32" i="13"/>
  <c r="P30" i="13"/>
  <c r="P31" i="13"/>
  <c r="P19" i="13"/>
  <c r="P20" i="13"/>
  <c r="P25" i="13"/>
  <c r="P26" i="13"/>
  <c r="P27" i="13"/>
  <c r="P29" i="13"/>
  <c r="P28" i="13"/>
  <c r="P22" i="13"/>
  <c r="P24" i="13"/>
  <c r="P23" i="13"/>
  <c r="P10" i="22"/>
  <c r="P9" i="28"/>
  <c r="P8" i="16"/>
  <c r="P10" i="28"/>
  <c r="B11" i="28"/>
  <c r="Q10" i="29"/>
  <c r="O10" i="29"/>
  <c r="N10" i="29"/>
  <c r="M10" i="29"/>
  <c r="F10" i="29"/>
  <c r="E10" i="29"/>
  <c r="D10" i="29"/>
  <c r="A10" i="29"/>
  <c r="H4" i="29"/>
  <c r="H2" i="29"/>
  <c r="Q8" i="28"/>
  <c r="O8" i="28"/>
  <c r="N8" i="28"/>
  <c r="M8" i="28"/>
  <c r="P8" i="28" s="1"/>
  <c r="F8" i="28"/>
  <c r="E8" i="28"/>
  <c r="D8" i="28"/>
  <c r="A8" i="28"/>
  <c r="H4" i="28"/>
  <c r="H2" i="28"/>
  <c r="Q9" i="27"/>
  <c r="O9" i="27"/>
  <c r="N9" i="27"/>
  <c r="M9" i="27"/>
  <c r="P9" i="27" s="1"/>
  <c r="F9" i="27"/>
  <c r="E9" i="27"/>
  <c r="D9" i="27"/>
  <c r="A9" i="27"/>
  <c r="H4" i="27"/>
  <c r="H2" i="27"/>
  <c r="Q8" i="26"/>
  <c r="O8" i="26"/>
  <c r="M8" i="26" s="1"/>
  <c r="P8" i="26" s="1"/>
  <c r="N8" i="26"/>
  <c r="F8" i="26"/>
  <c r="E8" i="26"/>
  <c r="D8" i="26"/>
  <c r="A8" i="26"/>
  <c r="H4" i="26"/>
  <c r="H2" i="26"/>
  <c r="Q11" i="25"/>
  <c r="O11" i="25"/>
  <c r="M11" i="25" s="1"/>
  <c r="P11" i="25" s="1"/>
  <c r="N11" i="25"/>
  <c r="F11" i="25"/>
  <c r="E11" i="25"/>
  <c r="D11" i="25"/>
  <c r="A11" i="25"/>
  <c r="H4" i="25"/>
  <c r="H2" i="25"/>
  <c r="Q12" i="24"/>
  <c r="O12" i="24"/>
  <c r="M12" i="24" s="1"/>
  <c r="P12" i="24" s="1"/>
  <c r="N12" i="24"/>
  <c r="F12" i="24"/>
  <c r="E12" i="24"/>
  <c r="D12" i="24"/>
  <c r="A12" i="24"/>
  <c r="H4" i="24"/>
  <c r="H2" i="24"/>
  <c r="Q10" i="23"/>
  <c r="O10" i="23"/>
  <c r="M10" i="23" s="1"/>
  <c r="P10" i="23" s="1"/>
  <c r="N10" i="23"/>
  <c r="F10" i="23"/>
  <c r="E10" i="23"/>
  <c r="D10" i="23"/>
  <c r="A10" i="23"/>
  <c r="H4" i="23"/>
  <c r="H2" i="23"/>
  <c r="Q8" i="22"/>
  <c r="O8" i="22"/>
  <c r="N8" i="22"/>
  <c r="M8" i="22"/>
  <c r="P8" i="22" s="1"/>
  <c r="F8" i="22"/>
  <c r="E8" i="22"/>
  <c r="D8" i="22"/>
  <c r="A8" i="22"/>
  <c r="H4" i="22"/>
  <c r="H2" i="22"/>
  <c r="Q10" i="21"/>
  <c r="O10" i="21"/>
  <c r="N10" i="21"/>
  <c r="M10" i="21"/>
  <c r="P10" i="21" s="1"/>
  <c r="F10" i="21"/>
  <c r="E10" i="21"/>
  <c r="D10" i="21"/>
  <c r="A10" i="21"/>
  <c r="H4" i="21"/>
  <c r="H2" i="21"/>
  <c r="Q10" i="20"/>
  <c r="O10" i="20"/>
  <c r="M10" i="20" s="1"/>
  <c r="P10" i="20" s="1"/>
  <c r="N10" i="20"/>
  <c r="F10" i="20"/>
  <c r="E10" i="20"/>
  <c r="D10" i="20"/>
  <c r="A10" i="20"/>
  <c r="H4" i="20"/>
  <c r="H2" i="20"/>
  <c r="Q10" i="18"/>
  <c r="O10" i="18"/>
  <c r="M10" i="18" s="1"/>
  <c r="P10" i="18" s="1"/>
  <c r="N10" i="18"/>
  <c r="F10" i="18"/>
  <c r="E10" i="18"/>
  <c r="D10" i="18"/>
  <c r="A10" i="18"/>
  <c r="H4" i="18"/>
  <c r="H2" i="18"/>
  <c r="Q8" i="17"/>
  <c r="O8" i="17"/>
  <c r="N8" i="17"/>
  <c r="M8" i="17"/>
  <c r="P8" i="17" s="1"/>
  <c r="F8" i="17"/>
  <c r="E8" i="17"/>
  <c r="D8" i="17"/>
  <c r="A8" i="17"/>
  <c r="H4" i="17"/>
  <c r="H2" i="17"/>
  <c r="Q9" i="16"/>
  <c r="O9" i="16"/>
  <c r="N9" i="16"/>
  <c r="M9" i="16"/>
  <c r="P9" i="16" s="1"/>
  <c r="F9" i="16"/>
  <c r="E9" i="16"/>
  <c r="D9" i="16"/>
  <c r="A9" i="16"/>
  <c r="H4" i="16"/>
  <c r="H2" i="16"/>
  <c r="Q8" i="15"/>
  <c r="O8" i="15"/>
  <c r="M8" i="15" s="1"/>
  <c r="P8" i="15" s="1"/>
  <c r="N8" i="15"/>
  <c r="F8" i="15"/>
  <c r="E8" i="15"/>
  <c r="D8" i="15"/>
  <c r="A8" i="15"/>
  <c r="H4" i="15"/>
  <c r="H2" i="15"/>
  <c r="Q25" i="14"/>
  <c r="O25" i="14"/>
  <c r="N25" i="14"/>
  <c r="M25" i="14"/>
  <c r="P25" i="14" s="1"/>
  <c r="F25" i="14"/>
  <c r="E25" i="14"/>
  <c r="D25" i="14"/>
  <c r="A25" i="14"/>
  <c r="H4" i="14"/>
  <c r="H2" i="14"/>
  <c r="Q21" i="13"/>
  <c r="O21" i="13"/>
  <c r="N21" i="13"/>
  <c r="M21" i="13"/>
  <c r="F21" i="13"/>
  <c r="E21" i="13"/>
  <c r="D21" i="13"/>
  <c r="A21" i="13"/>
  <c r="H4" i="13"/>
  <c r="H2" i="13"/>
  <c r="Q17" i="12"/>
  <c r="O17" i="12"/>
  <c r="M17" i="12" s="1"/>
  <c r="P17" i="12" s="1"/>
  <c r="N17" i="12"/>
  <c r="F17" i="12"/>
  <c r="E17" i="12"/>
  <c r="D17" i="12"/>
  <c r="A17" i="12"/>
  <c r="H4" i="12"/>
  <c r="H2" i="12"/>
  <c r="Q14" i="11"/>
  <c r="O14" i="11"/>
  <c r="N14" i="11"/>
  <c r="M14" i="11"/>
  <c r="P14" i="11" s="1"/>
  <c r="F14" i="11"/>
  <c r="E14" i="11"/>
  <c r="D14" i="11"/>
  <c r="A14" i="11"/>
  <c r="H4" i="11"/>
  <c r="H2" i="11"/>
  <c r="Q15" i="10"/>
  <c r="O15" i="10"/>
  <c r="N15" i="10"/>
  <c r="M15" i="10"/>
  <c r="P15" i="10" s="1"/>
  <c r="F15" i="10"/>
  <c r="E15" i="10"/>
  <c r="D15" i="10"/>
  <c r="A15" i="10"/>
  <c r="H4" i="10"/>
  <c r="H2" i="10"/>
  <c r="Q13" i="9"/>
  <c r="O13" i="9"/>
  <c r="N13" i="9"/>
  <c r="M13" i="9"/>
  <c r="P13" i="9" s="1"/>
  <c r="F13" i="9"/>
  <c r="E13" i="9"/>
  <c r="D13" i="9"/>
  <c r="A13" i="9"/>
  <c r="H4" i="9"/>
  <c r="H2" i="9"/>
  <c r="Q11" i="8"/>
  <c r="O11" i="8"/>
  <c r="N11" i="8"/>
  <c r="M11" i="8"/>
  <c r="P11" i="8" s="1"/>
  <c r="F11" i="8"/>
  <c r="E11" i="8"/>
  <c r="D11" i="8"/>
  <c r="A11" i="8"/>
  <c r="H4" i="8"/>
  <c r="H2" i="8"/>
  <c r="Q10" i="7"/>
  <c r="O10" i="7"/>
  <c r="N10" i="7"/>
  <c r="M10" i="7"/>
  <c r="P10" i="7" s="1"/>
  <c r="F10" i="7"/>
  <c r="E10" i="7"/>
  <c r="D10" i="7"/>
  <c r="A10" i="7"/>
  <c r="H4" i="7"/>
  <c r="H2" i="7"/>
  <c r="Q9" i="6"/>
  <c r="O9" i="6"/>
  <c r="N9" i="6"/>
  <c r="M9" i="6"/>
  <c r="P9" i="6" s="1"/>
  <c r="F9" i="6"/>
  <c r="E9" i="6"/>
  <c r="D9" i="6"/>
  <c r="A9" i="6"/>
  <c r="H4" i="6"/>
  <c r="H2" i="6"/>
  <c r="Q14" i="5"/>
  <c r="O14" i="5"/>
  <c r="N14" i="5"/>
  <c r="M14" i="5"/>
  <c r="P14" i="5" s="1"/>
  <c r="F14" i="5"/>
  <c r="E14" i="5"/>
  <c r="D14" i="5"/>
  <c r="A14" i="5"/>
  <c r="H4" i="5"/>
  <c r="H2" i="5"/>
  <c r="Q10" i="4"/>
  <c r="O10" i="4"/>
  <c r="N10" i="4"/>
  <c r="M10" i="4"/>
  <c r="P10" i="4" s="1"/>
  <c r="F10" i="4"/>
  <c r="E10" i="4"/>
  <c r="D10" i="4"/>
  <c r="A10" i="4"/>
  <c r="H4" i="4"/>
  <c r="H2" i="4"/>
  <c r="Q12" i="3"/>
  <c r="O12" i="3"/>
  <c r="N12" i="3"/>
  <c r="M12" i="3"/>
  <c r="P12" i="3" s="1"/>
  <c r="F12" i="3"/>
  <c r="E12" i="3"/>
  <c r="D12" i="3"/>
  <c r="A12" i="3"/>
  <c r="H4" i="3"/>
  <c r="H2" i="3"/>
  <c r="B15" i="9" l="1"/>
  <c r="B13" i="9"/>
  <c r="B12" i="6"/>
  <c r="B11" i="6"/>
  <c r="B10" i="6"/>
  <c r="B14" i="24"/>
  <c r="B13" i="24"/>
  <c r="B14" i="11"/>
  <c r="B12" i="8"/>
  <c r="B25" i="5"/>
  <c r="B23" i="5"/>
  <c r="B22" i="5"/>
  <c r="B26" i="14"/>
  <c r="B12" i="17"/>
  <c r="B8" i="26"/>
  <c r="B15" i="10"/>
  <c r="B16" i="10" s="1"/>
  <c r="B11" i="7"/>
  <c r="B18" i="4"/>
  <c r="P21" i="13"/>
  <c r="B22" i="13"/>
  <c r="B23" i="13" s="1"/>
  <c r="B21" i="13"/>
  <c r="B9" i="16"/>
  <c r="B10" i="21"/>
  <c r="B11" i="21" s="1"/>
  <c r="B12" i="21" s="1"/>
  <c r="B8" i="22"/>
  <c r="B9" i="22" s="1"/>
  <c r="B8" i="28"/>
  <c r="B9" i="6"/>
  <c r="B13" i="6" s="1"/>
  <c r="B10" i="7"/>
  <c r="B11" i="8"/>
  <c r="B8" i="8" s="1"/>
  <c r="B13" i="8" s="1"/>
  <c r="B25" i="14"/>
  <c r="B8" i="15"/>
  <c r="B9" i="15" s="1"/>
  <c r="B8" i="17"/>
  <c r="B9" i="17" s="1"/>
  <c r="B9" i="27"/>
  <c r="P10" i="29"/>
  <c r="B8" i="6" l="1"/>
  <c r="B14" i="6"/>
  <c r="B26" i="12"/>
  <c r="B11" i="15"/>
  <c r="B10" i="27"/>
  <c r="B11" i="27" s="1"/>
  <c r="B8" i="27" s="1"/>
  <c r="B13" i="21"/>
  <c r="B9" i="8"/>
  <c r="B10" i="8" s="1"/>
  <c r="B21" i="5"/>
  <c r="B8" i="20"/>
  <c r="B10" i="29"/>
  <c r="B8" i="29" s="1"/>
  <c r="B13" i="26"/>
  <c r="B8" i="23"/>
  <c r="B17" i="10"/>
  <c r="B9" i="7"/>
  <c r="B12" i="7" s="1"/>
  <c r="B8" i="7"/>
  <c r="B13" i="7" s="1"/>
  <c r="B24" i="13"/>
  <c r="B10" i="22"/>
  <c r="B23" i="3" l="1"/>
  <c r="B22" i="3"/>
  <c r="B10" i="15"/>
  <c r="B12" i="15" s="1"/>
  <c r="B15" i="24"/>
  <c r="B8" i="24" s="1"/>
  <c r="B8" i="21"/>
  <c r="B9" i="21" s="1"/>
  <c r="B28" i="5"/>
  <c r="B27" i="5"/>
  <c r="B26" i="5"/>
  <c r="B28" i="14"/>
  <c r="B11" i="20"/>
  <c r="B11" i="29"/>
  <c r="B9" i="29" s="1"/>
  <c r="B13" i="23"/>
  <c r="B9" i="23"/>
  <c r="B19" i="4"/>
  <c r="B11" i="22"/>
  <c r="B12" i="22" s="1"/>
  <c r="B13" i="22" s="1"/>
  <c r="B9" i="24" l="1"/>
  <c r="B31" i="5"/>
  <c r="B27" i="14"/>
  <c r="B14" i="26"/>
  <c r="B10" i="23"/>
  <c r="B11" i="23" s="1"/>
  <c r="B10" i="16"/>
  <c r="B11" i="16"/>
  <c r="B12" i="16"/>
  <c r="B12" i="23" l="1"/>
  <c r="B26" i="13"/>
  <c r="B27" i="13" s="1"/>
  <c r="B8" i="25"/>
  <c r="B9" i="25"/>
  <c r="B10" i="25"/>
  <c r="B11" i="25"/>
  <c r="B12" i="25"/>
  <c r="B13" i="25"/>
  <c r="B14" i="25"/>
  <c r="B15" i="25"/>
  <c r="B28" i="13"/>
  <c r="B19" i="13"/>
  <c r="B20" i="13"/>
  <c r="B25" i="13"/>
  <c r="B29" i="13"/>
  <c r="B30" i="13"/>
  <c r="B31" i="13"/>
  <c r="B8" i="13" l="1"/>
  <c r="B9" i="13"/>
  <c r="B10" i="13"/>
  <c r="B11" i="13"/>
  <c r="B12" i="13"/>
  <c r="B13" i="13"/>
  <c r="B14" i="13"/>
  <c r="B15" i="13"/>
  <c r="B16" i="13"/>
  <c r="B17" i="13"/>
  <c r="B18" i="13"/>
  <c r="B32" i="13"/>
  <c r="B33" i="13"/>
  <c r="B34" i="13"/>
  <c r="B35" i="13"/>
  <c r="B36" i="13"/>
  <c r="B20" i="4"/>
  <c r="B21" i="4"/>
  <c r="B8" i="4"/>
  <c r="B9" i="4"/>
  <c r="B10" i="4"/>
  <c r="B11" i="4"/>
  <c r="B12" i="4"/>
  <c r="B13" i="4"/>
  <c r="B14" i="4"/>
  <c r="B22" i="4"/>
  <c r="B23" i="4"/>
  <c r="B24" i="4"/>
  <c r="B25" i="4"/>
  <c r="B26" i="4"/>
  <c r="B27" i="4"/>
  <c r="B28" i="4"/>
  <c r="B29" i="4"/>
  <c r="B15" i="4"/>
  <c r="B16" i="4"/>
  <c r="B30" i="4"/>
  <c r="B31" i="4"/>
  <c r="B32" i="4"/>
  <c r="B33" i="4"/>
  <c r="B17" i="4"/>
  <c r="B34" i="4"/>
  <c r="B35" i="4"/>
  <c r="B36" i="4"/>
  <c r="B14" i="10"/>
  <c r="B8" i="10" s="1"/>
  <c r="B9" i="10" l="1"/>
  <c r="B10" i="10" l="1"/>
  <c r="B11" i="10" s="1"/>
  <c r="B12" i="10" l="1"/>
  <c r="B13" i="10" s="1"/>
  <c r="B9" i="26"/>
  <c r="B10" i="26"/>
  <c r="B11" i="26"/>
  <c r="B12" i="26"/>
  <c r="B15" i="26"/>
  <c r="B9" i="20"/>
  <c r="B10" i="20"/>
  <c r="B10" i="17"/>
  <c r="B11" i="17" s="1"/>
  <c r="B31" i="14"/>
  <c r="B32" i="14"/>
  <c r="B33" i="14"/>
  <c r="B34" i="14"/>
  <c r="B35" i="14"/>
  <c r="B36" i="14"/>
  <c r="B8" i="5"/>
  <c r="B9" i="5" s="1"/>
  <c r="B29" i="5"/>
  <c r="B30" i="5"/>
  <c r="B32" i="5"/>
  <c r="B33" i="5"/>
  <c r="B34" i="5"/>
  <c r="B10" i="5" l="1"/>
  <c r="B11" i="5" s="1"/>
  <c r="B12" i="5" l="1"/>
  <c r="B13" i="5"/>
  <c r="B14" i="5"/>
  <c r="B15" i="5"/>
  <c r="B16" i="5"/>
  <c r="B17" i="5"/>
  <c r="B18" i="5"/>
  <c r="B19" i="5"/>
  <c r="B20" i="5"/>
  <c r="B35" i="5"/>
  <c r="B36" i="5"/>
  <c r="B15" i="11"/>
  <c r="B8" i="11"/>
  <c r="B9" i="11"/>
  <c r="B10" i="11"/>
  <c r="B11" i="11"/>
  <c r="B12" i="11"/>
  <c r="B13" i="11"/>
  <c r="B16" i="11"/>
  <c r="B17" i="11"/>
  <c r="B10" i="24"/>
  <c r="B11" i="24"/>
  <c r="B12" i="24"/>
  <c r="B8" i="18"/>
  <c r="B9" i="18"/>
  <c r="B10" i="18"/>
  <c r="B27" i="12"/>
  <c r="B28" i="12"/>
  <c r="B29" i="12"/>
  <c r="B30" i="12"/>
  <c r="B31" i="12"/>
  <c r="B32" i="12"/>
  <c r="B33" i="12" l="1"/>
  <c r="B34" i="12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4" i="3"/>
  <c r="B25" i="3"/>
  <c r="B26" i="3"/>
  <c r="B27" i="3"/>
  <c r="B28" i="3"/>
  <c r="B29" i="3"/>
  <c r="B30" i="3"/>
  <c r="B31" i="3"/>
  <c r="B33" i="3" l="1"/>
  <c r="B34" i="3"/>
  <c r="B35" i="3"/>
  <c r="B20" i="3"/>
  <c r="B8" i="3" l="1"/>
  <c r="B9" i="3" l="1"/>
  <c r="B10" i="3" l="1"/>
  <c r="B11" i="3"/>
  <c r="B12" i="3"/>
  <c r="B13" i="3"/>
  <c r="B14" i="3"/>
  <c r="B15" i="3"/>
  <c r="B16" i="3"/>
  <c r="B17" i="3"/>
  <c r="B18" i="3"/>
  <c r="B21" i="3"/>
  <c r="B19" i="3"/>
  <c r="B8" i="9"/>
  <c r="B9" i="9"/>
  <c r="B10" i="9"/>
  <c r="B11" i="9"/>
  <c r="B16" i="9"/>
  <c r="B12" i="9"/>
  <c r="B14" i="9"/>
  <c r="B9" i="28"/>
  <c r="B8" i="16"/>
</calcChain>
</file>

<file path=xl/sharedStrings.xml><?xml version="1.0" encoding="utf-8"?>
<sst xmlns="http://schemas.openxmlformats.org/spreadsheetml/2006/main" count="1556" uniqueCount="327">
  <si>
    <t>1ᵉ graad Large</t>
  </si>
  <si>
    <t>1ᵉ graad Medium</t>
  </si>
  <si>
    <t>1ᵉ graad Small</t>
  </si>
  <si>
    <t>2ᵉ graad Large</t>
  </si>
  <si>
    <t>2ᵉ graad Medium</t>
  </si>
  <si>
    <t>2ᵉ graad Small</t>
  </si>
  <si>
    <t>3ᵉ graad Large</t>
  </si>
  <si>
    <t>3ᵉ graad Medium</t>
  </si>
  <si>
    <t>3ᵉ graad Small</t>
  </si>
  <si>
    <t>Debutanten Large</t>
  </si>
  <si>
    <t>Debutanten Medium</t>
  </si>
  <si>
    <t>Debutanten Small</t>
  </si>
  <si>
    <t>Veteranen Large</t>
  </si>
  <si>
    <t>Veteranen Medium</t>
  </si>
  <si>
    <t>Veteranen Small</t>
  </si>
  <si>
    <t>Open Large</t>
  </si>
  <si>
    <t>Open M/S</t>
  </si>
  <si>
    <t>Open</t>
  </si>
  <si>
    <t>Sandy Ammerlaan</t>
  </si>
  <si>
    <t>Norbert Behren (de)</t>
  </si>
  <si>
    <t>Adri van den Bosch</t>
  </si>
  <si>
    <t>Jozef van Eester (be)</t>
  </si>
  <si>
    <t>Mark Fonteijn</t>
  </si>
  <si>
    <t>Rolf C. Frank (de)</t>
  </si>
  <si>
    <t>Arjen van Gastel</t>
  </si>
  <si>
    <t>Frank Gers (be)</t>
  </si>
  <si>
    <t>Ben Gräfe</t>
  </si>
  <si>
    <t>Nico Habermehl</t>
  </si>
  <si>
    <t>Hans Heijboer</t>
  </si>
  <si>
    <t>Willem-Alexander Kelders</t>
  </si>
  <si>
    <t>Ton van de Laar</t>
  </si>
  <si>
    <t>Jan Langius</t>
  </si>
  <si>
    <t>Michiel Lazeroms</t>
  </si>
  <si>
    <t>Michel Liekens (be)</t>
  </si>
  <si>
    <t>Paul Moore (uk)</t>
  </si>
  <si>
    <t>Ronald Mouwen</t>
  </si>
  <si>
    <t>Susan Mouwen-Ophorst</t>
  </si>
  <si>
    <t>Toshiyuki Oba (JP)</t>
  </si>
  <si>
    <t>Piet Plasmans</t>
  </si>
  <si>
    <t>Henk Postma</t>
  </si>
  <si>
    <t>Petr Pupik (cz)</t>
  </si>
  <si>
    <t>Carl de Rouck</t>
  </si>
  <si>
    <t>Martin Schoffelmeer</t>
  </si>
  <si>
    <t>Jurgen Smit</t>
  </si>
  <si>
    <t>Jan Sprij</t>
  </si>
  <si>
    <t>Kees Stoel</t>
  </si>
  <si>
    <t>Ron van Straten</t>
  </si>
  <si>
    <t>Patrick Tunders</t>
  </si>
  <si>
    <t>Corrie Vink-Rosier</t>
  </si>
  <si>
    <t>Klassen</t>
  </si>
  <si>
    <t>Keurmeesters</t>
  </si>
  <si>
    <t>Vul hier alle deelnemers in</t>
  </si>
  <si>
    <t>SNR</t>
  </si>
  <si>
    <t>Licentie</t>
  </si>
  <si>
    <t>Handler</t>
  </si>
  <si>
    <t>Hond</t>
  </si>
  <si>
    <t>Geboortedatum</t>
  </si>
  <si>
    <t>Ras</t>
  </si>
  <si>
    <t>Groep</t>
  </si>
  <si>
    <t>Buiten Mededinging</t>
  </si>
  <si>
    <t>Sia Beuving</t>
  </si>
  <si>
    <t>Ally</t>
  </si>
  <si>
    <t>Hovawart</t>
  </si>
  <si>
    <t>Chito</t>
  </si>
  <si>
    <t>Yara Borger</t>
  </si>
  <si>
    <t>Elsa</t>
  </si>
  <si>
    <t>border collie</t>
  </si>
  <si>
    <t>Saskia Brockmeyer</t>
  </si>
  <si>
    <t>Kim</t>
  </si>
  <si>
    <t>Australian Kelpie</t>
  </si>
  <si>
    <t>Eerjan de Bruijn</t>
  </si>
  <si>
    <t>Cara</t>
  </si>
  <si>
    <t>Border Collie</t>
  </si>
  <si>
    <t>Danielle van den Dobbelsteen</t>
  </si>
  <si>
    <t>Django</t>
  </si>
  <si>
    <t>Zwitserse Witte Herder</t>
  </si>
  <si>
    <t>Anne van den Eerenbeemt</t>
  </si>
  <si>
    <t>Harley Davidson</t>
  </si>
  <si>
    <t>amerikaanse stafford</t>
  </si>
  <si>
    <t>Jolanda Eiling</t>
  </si>
  <si>
    <t>Danica</t>
  </si>
  <si>
    <t>Poedel, Standaard (Zwart)</t>
  </si>
  <si>
    <t>Sharon Erenstein</t>
  </si>
  <si>
    <t>Taboo</t>
  </si>
  <si>
    <t>Rottweiler</t>
  </si>
  <si>
    <t>Ina Feijen</t>
  </si>
  <si>
    <t>Morris</t>
  </si>
  <si>
    <t>Pyreneese Herdershond, à Face Rase</t>
  </si>
  <si>
    <t>Iris Folbert</t>
  </si>
  <si>
    <t>Jip</t>
  </si>
  <si>
    <t>Marjolijn Harders</t>
  </si>
  <si>
    <t>Raya</t>
  </si>
  <si>
    <t>kruising</t>
  </si>
  <si>
    <t>Lenie Henrion Verpoorten</t>
  </si>
  <si>
    <t>Brann</t>
  </si>
  <si>
    <t>Australian Shepherd</t>
  </si>
  <si>
    <t>Nara</t>
  </si>
  <si>
    <t>Carla van der Kolk-la Crois</t>
  </si>
  <si>
    <t>Abby</t>
  </si>
  <si>
    <t>Danique Lagerwaard</t>
  </si>
  <si>
    <t>LB LESS</t>
  </si>
  <si>
    <t>Thea van Niekerk</t>
  </si>
  <si>
    <t>Ellis</t>
  </si>
  <si>
    <t>Belgische Herdershond, Groenendaeler</t>
  </si>
  <si>
    <t>Ellen Overtoom</t>
  </si>
  <si>
    <t>Tav</t>
  </si>
  <si>
    <t>Hennie Roemahlewang</t>
  </si>
  <si>
    <t>Rush</t>
  </si>
  <si>
    <t>Lilo Smit</t>
  </si>
  <si>
    <t>Magic</t>
  </si>
  <si>
    <t>australian shepherd</t>
  </si>
  <si>
    <t>Marjolein van Sprang</t>
  </si>
  <si>
    <t>Groovy</t>
  </si>
  <si>
    <t>Melissa Stoeten</t>
  </si>
  <si>
    <t>Craig</t>
  </si>
  <si>
    <t>Marieke Timmer</t>
  </si>
  <si>
    <t>SPAM</t>
  </si>
  <si>
    <t>Sinne Tolsma</t>
  </si>
  <si>
    <t>Donder</t>
  </si>
  <si>
    <t>Ariena vd Veen</t>
  </si>
  <si>
    <t>Rossi</t>
  </si>
  <si>
    <t>Agnes Verhoef</t>
  </si>
  <si>
    <t>Rose</t>
  </si>
  <si>
    <t>Golden Retriever</t>
  </si>
  <si>
    <t>Kim Verkade</t>
  </si>
  <si>
    <t>Zeno</t>
  </si>
  <si>
    <t>Truus Voshart</t>
  </si>
  <si>
    <t>Lilly</t>
  </si>
  <si>
    <t>Alida Wekema-Torensma</t>
  </si>
  <si>
    <t>Mailo</t>
  </si>
  <si>
    <t>Nova Scotia Duck Tolling Retriever</t>
  </si>
  <si>
    <t>Willy vd Zee</t>
  </si>
  <si>
    <t>Feytze</t>
  </si>
  <si>
    <t>Leida Beugels</t>
  </si>
  <si>
    <t>Knut</t>
  </si>
  <si>
    <t>kruising keeshond</t>
  </si>
  <si>
    <t>Esther Booker</t>
  </si>
  <si>
    <t>Ootje</t>
  </si>
  <si>
    <t>Melanie Freriksen</t>
  </si>
  <si>
    <t>Happy</t>
  </si>
  <si>
    <t>poedel</t>
  </si>
  <si>
    <t>Aaltje Gorter</t>
  </si>
  <si>
    <t>Daisy</t>
  </si>
  <si>
    <t>Shetland Sheepdog</t>
  </si>
  <si>
    <t>Sanne Graafstra</t>
  </si>
  <si>
    <t>Sky</t>
  </si>
  <si>
    <t>Tjeerd Langhout</t>
  </si>
  <si>
    <t>Elwood</t>
  </si>
  <si>
    <t>Beagle</t>
  </si>
  <si>
    <t>Ilse Mouwen</t>
  </si>
  <si>
    <t>Google</t>
  </si>
  <si>
    <t>Gerda Bleeker-Korte</t>
  </si>
  <si>
    <t>Maisy</t>
  </si>
  <si>
    <t>Marjanna Bremer</t>
  </si>
  <si>
    <t>Fizzjuh</t>
  </si>
  <si>
    <t>chihuahua mix</t>
  </si>
  <si>
    <t>Claudia Engelen</t>
  </si>
  <si>
    <t>Sep</t>
  </si>
  <si>
    <t>dwergpoedel</t>
  </si>
  <si>
    <t>Francien Hamminga</t>
  </si>
  <si>
    <t>Dee-Dee</t>
  </si>
  <si>
    <t>miniature american shepherd</t>
  </si>
  <si>
    <t>Jan Knol</t>
  </si>
  <si>
    <t>Kenzo</t>
  </si>
  <si>
    <t>Cavalier King Charles Spaniël</t>
  </si>
  <si>
    <t>Margreet Osinga-Ijpma</t>
  </si>
  <si>
    <t>Olaf</t>
  </si>
  <si>
    <t>Parson Russell Terriër</t>
  </si>
  <si>
    <t>Dimphy Penninkhof</t>
  </si>
  <si>
    <t>Tommy</t>
  </si>
  <si>
    <t>jack russell terrier</t>
  </si>
  <si>
    <t>Cathy Rubingh</t>
  </si>
  <si>
    <t>pomeranian</t>
  </si>
  <si>
    <t>Nicky Spengler</t>
  </si>
  <si>
    <t>Jacey</t>
  </si>
  <si>
    <t>Amanda Valk</t>
  </si>
  <si>
    <t>Kyra</t>
  </si>
  <si>
    <t>cairn terriër</t>
  </si>
  <si>
    <t>Rosanne Wemerman</t>
  </si>
  <si>
    <t>Quincy</t>
  </si>
  <si>
    <t>kruising dwergkees chihuahua</t>
  </si>
  <si>
    <t>Priscilla Bax</t>
  </si>
  <si>
    <t>Shakes</t>
  </si>
  <si>
    <t>Labrador Retriever</t>
  </si>
  <si>
    <t>Herman van den Belt</t>
  </si>
  <si>
    <t>Nash</t>
  </si>
  <si>
    <t>Jaap Bijleveld</t>
  </si>
  <si>
    <t>Sairaid</t>
  </si>
  <si>
    <t>José Bijleveld-Zwiers</t>
  </si>
  <si>
    <t>Shiva</t>
  </si>
  <si>
    <t>Schotse Herdershond, Langhaar</t>
  </si>
  <si>
    <t>Lientje</t>
  </si>
  <si>
    <t>Godelieve Bouwes</t>
  </si>
  <si>
    <t>Nolan</t>
  </si>
  <si>
    <t>Marjolein Burggraaf</t>
  </si>
  <si>
    <t>Reina Cominotto - Roerink</t>
  </si>
  <si>
    <t>Djamila</t>
  </si>
  <si>
    <t>Briard</t>
  </si>
  <si>
    <t>Margreet Derksen</t>
  </si>
  <si>
    <t>Andre Fiks</t>
  </si>
  <si>
    <t>Jikke</t>
  </si>
  <si>
    <t>Woezel</t>
  </si>
  <si>
    <t>Amerikaanse Staffordshire Terriër</t>
  </si>
  <si>
    <t>Lisa de Gooijer</t>
  </si>
  <si>
    <t>Pollux</t>
  </si>
  <si>
    <t>Geertje Gorter</t>
  </si>
  <si>
    <t>Tansy</t>
  </si>
  <si>
    <t>Mellan</t>
  </si>
  <si>
    <t>Steven Hoogerhuis</t>
  </si>
  <si>
    <t>Marcka</t>
  </si>
  <si>
    <t>Belgische Herdershond, Mechelse</t>
  </si>
  <si>
    <t>Geertje Jalving</t>
  </si>
  <si>
    <t>Diva</t>
  </si>
  <si>
    <t>Seppie Jansma</t>
  </si>
  <si>
    <t>Isa</t>
  </si>
  <si>
    <t>Peter Kemper</t>
  </si>
  <si>
    <t>Spûnk</t>
  </si>
  <si>
    <t>NOYTCB MORE</t>
  </si>
  <si>
    <t>Koos Lith</t>
  </si>
  <si>
    <t>Ice</t>
  </si>
  <si>
    <t>Gert Meerholz</t>
  </si>
  <si>
    <t>Kika</t>
  </si>
  <si>
    <t>Pella</t>
  </si>
  <si>
    <t>Yindi</t>
  </si>
  <si>
    <t>Kim Pouls</t>
  </si>
  <si>
    <t>Djazzy</t>
  </si>
  <si>
    <t>Henk Simon</t>
  </si>
  <si>
    <t>Duke</t>
  </si>
  <si>
    <t>Boxer</t>
  </si>
  <si>
    <t>Lorena Speksnijder</t>
  </si>
  <si>
    <t>Sam</t>
  </si>
  <si>
    <t>kruising border collie x sheltie</t>
  </si>
  <si>
    <t>Erik Stoeten</t>
  </si>
  <si>
    <t>Chu´a</t>
  </si>
  <si>
    <t>Zembla</t>
  </si>
  <si>
    <t>Boss</t>
  </si>
  <si>
    <t>Suzanne Verschuuren</t>
  </si>
  <si>
    <t>Sum</t>
  </si>
  <si>
    <t>Caitlin van Zaanen</t>
  </si>
  <si>
    <t>Chanti</t>
  </si>
  <si>
    <t>Petra Brandjes</t>
  </si>
  <si>
    <t>Tink</t>
  </si>
  <si>
    <t>Oostenrijkse Pinscher</t>
  </si>
  <si>
    <t>Floor Goddijn</t>
  </si>
  <si>
    <t>Ici</t>
  </si>
  <si>
    <t>Pyreneese Herdershond</t>
  </si>
  <si>
    <t>Gisèle Kdise</t>
  </si>
  <si>
    <t>Lily</t>
  </si>
  <si>
    <t>Kooikerhondje</t>
  </si>
  <si>
    <t>Bessie</t>
  </si>
  <si>
    <t>Christina Smit</t>
  </si>
  <si>
    <t>Chiva</t>
  </si>
  <si>
    <t>jack russell terriër</t>
  </si>
  <si>
    <t>Marja de Voogd</t>
  </si>
  <si>
    <t>Katie</t>
  </si>
  <si>
    <t>nederlandse schapendoes</t>
  </si>
  <si>
    <t>Mariën Balt</t>
  </si>
  <si>
    <t>Scooby Doo</t>
  </si>
  <si>
    <t>mix</t>
  </si>
  <si>
    <t>Marion Homburg</t>
  </si>
  <si>
    <t>Maxl</t>
  </si>
  <si>
    <t>Yorkshire Terriër</t>
  </si>
  <si>
    <t>Jeanet Hooijer</t>
  </si>
  <si>
    <t>Dribbel</t>
  </si>
  <si>
    <t>boomer</t>
  </si>
  <si>
    <t>Marouschka Poppema</t>
  </si>
  <si>
    <t>Hannah</t>
  </si>
  <si>
    <t>Janne Lise de Boer</t>
  </si>
  <si>
    <t>Jochie</t>
  </si>
  <si>
    <t>Peruaanse Naakthond, Groot</t>
  </si>
  <si>
    <t>Geraldine Kort-Storch</t>
  </si>
  <si>
    <t>Cuby</t>
  </si>
  <si>
    <t>Ace</t>
  </si>
  <si>
    <t>Nicole Schreuder Peters</t>
  </si>
  <si>
    <t>Tessa</t>
  </si>
  <si>
    <t>Lola</t>
  </si>
  <si>
    <t>Twiggy</t>
  </si>
  <si>
    <t>Zyzo</t>
  </si>
  <si>
    <t>rasloos</t>
  </si>
  <si>
    <t>Laika</t>
  </si>
  <si>
    <t>Bianca Jansen</t>
  </si>
  <si>
    <t>Fynny</t>
  </si>
  <si>
    <t>Pumi</t>
  </si>
  <si>
    <t>Holly</t>
  </si>
  <si>
    <t>Joke van der Molen</t>
  </si>
  <si>
    <t>Vita</t>
  </si>
  <si>
    <t>Hollandse Smoushond</t>
  </si>
  <si>
    <t>Kennie</t>
  </si>
  <si>
    <t>Darby</t>
  </si>
  <si>
    <t>Nalan</t>
  </si>
  <si>
    <t>Klaas Aalderink</t>
  </si>
  <si>
    <t>Kaycee</t>
  </si>
  <si>
    <t>Bert Doppenberg</t>
  </si>
  <si>
    <t>Kruimel</t>
  </si>
  <si>
    <t>jack russell / yorkshire terriër</t>
  </si>
  <si>
    <t>Pip</t>
  </si>
  <si>
    <t>Jack Russell Terriër</t>
  </si>
  <si>
    <t>Kiriya</t>
  </si>
  <si>
    <t>toy australian shepherd</t>
  </si>
  <si>
    <t>Vereniging</t>
  </si>
  <si>
    <t>K.C. Hoogeveen</t>
  </si>
  <si>
    <t>Wedstrijd</t>
  </si>
  <si>
    <t>Promotiewedstrijd voor graad 1, 2 en 3.</t>
  </si>
  <si>
    <t>Datum</t>
  </si>
  <si>
    <t>Onderdeel</t>
  </si>
  <si>
    <t>Jumping</t>
  </si>
  <si>
    <t>Keurmeester</t>
  </si>
  <si>
    <t>SPT</t>
  </si>
  <si>
    <t>sec</t>
  </si>
  <si>
    <t>MPT</t>
  </si>
  <si>
    <t>Lengte</t>
  </si>
  <si>
    <t>m</t>
  </si>
  <si>
    <t>Plaats</t>
  </si>
  <si>
    <t>Punt</t>
  </si>
  <si>
    <t>Tijd</t>
  </si>
  <si>
    <t>W</t>
  </si>
  <si>
    <t>A</t>
  </si>
  <si>
    <t>F</t>
  </si>
  <si>
    <t>Disk</t>
  </si>
  <si>
    <t>Score</t>
  </si>
  <si>
    <t>m/s</t>
  </si>
  <si>
    <t>Fouten</t>
  </si>
  <si>
    <t>Sorteren</t>
  </si>
  <si>
    <t>Waarschuwing</t>
  </si>
  <si>
    <t>Vast Parcours 1</t>
  </si>
  <si>
    <t>Vast Parcours 2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</si>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</sst>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E2BE"/>
        <bgColor indexed="64"/>
      </patternFill>
    </fill>
    <fill>
      <patternFill patternType="solid">
        <fgColor rgb="FFD7E2BE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0" fontId="0" fillId="2" borderId="0" xfId="0" applyFill="1"/>
    <xf numFmtId="0" fontId="3" fillId="0" borderId="0" xfId="0" applyFont="1" applyFill="1"/>
    <xf numFmtId="0" fontId="0" fillId="2" borderId="0" xfId="0" applyFill="1"/>
    <xf numFmtId="0" fontId="4" fillId="3" borderId="0" xfId="0" applyFont="1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2" fillId="0" borderId="0" xfId="0" applyFont="1" applyAlignment="1">
      <alignment horizontal="center"/>
    </xf>
    <xf numFmtId="0" fontId="0" fillId="2" borderId="0" xfId="0" applyFill="1"/>
    <xf numFmtId="164" fontId="0" fillId="2" borderId="0" xfId="0" applyNumberFormat="1" applyFill="1"/>
  </cellXfs>
  <cellStyles count="1">
    <cellStyle name="Standaard" xfId="0" builtinId="0"/>
  </cellStyles>
  <dxfs count="212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 patternType="solid">
          <fgColor indexed="64"/>
          <bgColor rgb="FFD7E2BE"/>
        </patternFill>
      </fill>
    </dxf>
    <dxf>
      <fill>
        <patternFill patternType="solid">
          <fgColor indexed="64"/>
          <bgColor rgb="FFD7E2BE"/>
        </patternFill>
      </fill>
    </dxf>
    <dxf>
      <fill>
        <patternFill patternType="solid">
          <fgColor indexed="64"/>
          <bgColor rgb="FFD7E2BE"/>
        </patternFill>
      </fill>
    </dxf>
    <dxf>
      <fill>
        <patternFill patternType="solid">
          <fgColor indexed="64"/>
          <bgColor rgb="FFD7E2BE"/>
        </patternFill>
      </fill>
    </dxf>
    <dxf>
      <fill>
        <patternFill patternType="solid">
          <fgColor indexed="64"/>
          <bgColor rgb="FFD7E2BE"/>
        </patternFill>
      </fill>
    </dxf>
    <dxf>
      <fill>
        <patternFill patternType="solid">
          <fgColor indexed="64"/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ill>
        <patternFill>
          <bgColor rgb="FFD7E2BE"/>
        </patternFill>
      </fill>
    </dxf>
    <dxf>
      <font>
        <color rgb="FFFFFFFF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elnemers" displayName="Deelnemers" ref="A3:H111" totalsRowShown="0">
  <autoFilter ref="A3:H111" xr:uid="{00000000-0009-0000-0100-000001000000}"/>
  <sortState ref="A4:H111">
    <sortCondition ref="A3:A111"/>
  </sortState>
  <tableColumns count="8">
    <tableColumn id="1" xr3:uid="{00000000-0010-0000-0000-000001000000}" name="SNR"/>
    <tableColumn id="2" xr3:uid="{00000000-0010-0000-0000-000002000000}" name="Licentie"/>
    <tableColumn id="3" xr3:uid="{00000000-0010-0000-0000-000003000000}" name="Handler"/>
    <tableColumn id="4" xr3:uid="{00000000-0010-0000-0000-000004000000}" name="Hond"/>
    <tableColumn id="5" xr3:uid="{00000000-0010-0000-0000-000005000000}" name="Geboortedatum"/>
    <tableColumn id="6" xr3:uid="{00000000-0010-0000-0000-000006000000}" name="Ras"/>
    <tableColumn id="7" xr3:uid="{00000000-0010-0000-0000-000007000000}" name="Groep"/>
    <tableColumn id="8" xr3:uid="{00000000-0010-0000-0000-000008000000}" name="Buiten Mededinging"/>
  </tableColumns>
  <tableStyleInfo name="TableStyleMedium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Q17" totalsRowShown="0">
  <autoFilter ref="A7:Q17" xr:uid="{00000000-0009-0000-0100-00000A000000}"/>
  <sortState ref="A8:Q17">
    <sortCondition ref="P7:P17"/>
  </sortState>
  <tableColumns count="17">
    <tableColumn id="1" xr3:uid="{00000000-0010-0000-0900-000001000000}" name="Licentie">
      <calculatedColumnFormula>IFERROR(VLOOKUP(Table10[[#This Row],[SNR]],Deelnemers[#Data],2,0),"")</calculatedColumnFormula>
    </tableColumn>
    <tableColumn id="2" xr3:uid="{00000000-0010-0000-0900-000002000000}" name="Plaats">
      <calculatedColumnFormula>IF(VLOOKUP(Table10[[#This Row],[SNR]],Deelnemers[#Data],8,0)&gt;0,"BM",IF(Table10[[#This Row],[Score]]="Disk",0,MATCH(Table10[[#This Row],[Sorteren]],Table10[Sorteren],0)-COUNTIF($B$7:$B7,"BM")))</calculatedColumnFormula>
    </tableColumn>
    <tableColumn id="3" xr3:uid="{00000000-0010-0000-0900-000003000000}" name="Punt"/>
    <tableColumn id="4" xr3:uid="{00000000-0010-0000-0900-000004000000}" name="Handler">
      <calculatedColumnFormula>IFERROR(VLOOKUP(Table10[[#This Row],[SNR]],Deelnemers[#Data],3,0),"")</calculatedColumnFormula>
    </tableColumn>
    <tableColumn id="5" xr3:uid="{00000000-0010-0000-0900-000005000000}" name="Hond">
      <calculatedColumnFormula>IFERROR(VLOOKUP(Table10[[#This Row],[SNR]],Deelnemers[#Data],4,0),"")</calculatedColumnFormula>
    </tableColumn>
    <tableColumn id="6" xr3:uid="{00000000-0010-0000-0900-000006000000}" name="Ras">
      <calculatedColumnFormula>IFERROR(VLOOKUP(Table10[[#This Row],[SNR]],Deelnemers[#Data],6,0),"")</calculatedColumnFormula>
    </tableColumn>
    <tableColumn id="7" xr3:uid="{00000000-0010-0000-0900-000007000000}" name="SNR" dataDxfId="147"/>
    <tableColumn id="8" xr3:uid="{00000000-0010-0000-0900-000008000000}" name="Tijd" dataDxfId="146"/>
    <tableColumn id="9" xr3:uid="{00000000-0010-0000-0900-000009000000}" name="W" dataDxfId="145"/>
    <tableColumn id="10" xr3:uid="{00000000-0010-0000-0900-00000A000000}" name="A" dataDxfId="144"/>
    <tableColumn id="11" xr3:uid="{00000000-0010-0000-0900-00000B000000}" name="F" dataDxfId="143"/>
    <tableColumn id="12" xr3:uid="{00000000-0010-0000-0900-00000C000000}" name="Disk" dataDxfId="142"/>
    <tableColumn id="13" xr3:uid="{00000000-0010-0000-0900-00000D000000}" name="Score">
      <calculatedColumnFormula>IF(OR(ISNUMBER(SEARCH("Jumping", $C$5)),ISNUMBER(SEARCH("Vast Parcours", $C$5)), ISNUMBER(SEARCH("NKT", $C$5))),IF(OR(Table10[[#This Row],[Disk]]&gt;0,Table10[[#This Row],[W]]&gt;=3,Table10[[#This Row],[Tijd]]&gt;$F$3),"Disk",IF(ISBLANK(Table10[[#This Row],[Tijd]]),"",Table10[[#This Row],[Fouten]]+MAX(0,Table10[[#This Row],[Tijd]]-$F$2))),"-")</calculatedColumnFormula>
    </tableColumn>
    <tableColumn id="14" xr3:uid="{00000000-0010-0000-0900-00000E000000}" name="m/s">
      <calculatedColumnFormula>IFERROR(PRODUCT($F$4,1/Table10[[#This Row],[Tijd]]),0)</calculatedColumnFormula>
    </tableColumn>
    <tableColumn id="15" xr3:uid="{00000000-0010-0000-0900-00000F000000}" name="Fouten">
      <calculatedColumnFormula>SUM(Table10[[#This Row],[W]],Table10[[#This Row],[A]],Table10[[#This Row],[F]])*5</calculatedColumnFormula>
    </tableColumn>
    <tableColumn id="16" xr3:uid="{00000000-0010-0000-0900-000010000000}" name="Sorteren">
      <calculatedColumnFormula>TEXT(Table10[[#This Row],[Score]],"00,00")&amp;TEXT(Table10[[#This Row],[Fouten]],"00")&amp;TEXT(Table10[[#This Row],[Tijd]],"00,000")</calculatedColumnFormula>
    </tableColumn>
    <tableColumn id="17" xr3:uid="{00000000-0010-0000-0900-000011000000}" name="Waarschuwing">
      <calculatedColumnFormula>IF(IFERROR(VLOOKUP(Table10[[#This Row],[SNR]],Deelnemers[#Data],7,0),0)&lt;&gt;$C$4,"Loopt niet in deze groep!",IF(COUNTIF(Table10[SNR],Table10[[#This Row],[SNR]])&gt;1,"Dubbel",""))</calculatedColumnFormula>
    </tableColumn>
  </tableColumns>
  <tableStyleInfo name="TableStyleMedium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Q34" totalsRowShown="0">
  <autoFilter ref="A7:Q34" xr:uid="{00000000-0009-0000-0100-00000B000000}"/>
  <sortState ref="A8:Q34">
    <sortCondition ref="P7:P34"/>
  </sortState>
  <tableColumns count="17">
    <tableColumn id="1" xr3:uid="{00000000-0010-0000-0A00-000001000000}" name="Licentie">
      <calculatedColumnFormula>IFERROR(VLOOKUP(Table11[[#This Row],[SNR]],Deelnemers[#Data],2,0),"")</calculatedColumnFormula>
    </tableColumn>
    <tableColumn id="2" xr3:uid="{00000000-0010-0000-0A00-000002000000}" name="Plaats">
      <calculatedColumnFormula>IF(VLOOKUP(Table11[[#This Row],[SNR]],Deelnemers[#Data],8,0)&gt;0,"BM",IF(Table11[[#This Row],[Score]]="Disk",0,MATCH(Table11[[#This Row],[Sorteren]],Table11[Sorteren],0)-COUNTIF($B$7:$B7,"BM")))</calculatedColumnFormula>
    </tableColumn>
    <tableColumn id="3" xr3:uid="{00000000-0010-0000-0A00-000003000000}" name="Punt"/>
    <tableColumn id="4" xr3:uid="{00000000-0010-0000-0A00-000004000000}" name="Handler">
      <calculatedColumnFormula>IFERROR(VLOOKUP(Table11[[#This Row],[SNR]],Deelnemers[#Data],3,0),"")</calculatedColumnFormula>
    </tableColumn>
    <tableColumn id="5" xr3:uid="{00000000-0010-0000-0A00-000005000000}" name="Hond">
      <calculatedColumnFormula>IFERROR(VLOOKUP(Table11[[#This Row],[SNR]],Deelnemers[#Data],4,0),"")</calculatedColumnFormula>
    </tableColumn>
    <tableColumn id="6" xr3:uid="{00000000-0010-0000-0A00-000006000000}" name="Ras">
      <calculatedColumnFormula>IFERROR(VLOOKUP(Table11[[#This Row],[SNR]],Deelnemers[#Data],6,0),"")</calculatedColumnFormula>
    </tableColumn>
    <tableColumn id="7" xr3:uid="{00000000-0010-0000-0A00-000007000000}" name="SNR" dataDxfId="139"/>
    <tableColumn id="8" xr3:uid="{00000000-0010-0000-0A00-000008000000}" name="Tijd" dataDxfId="138"/>
    <tableColumn id="9" xr3:uid="{00000000-0010-0000-0A00-000009000000}" name="W" dataDxfId="137"/>
    <tableColumn id="10" xr3:uid="{00000000-0010-0000-0A00-00000A000000}" name="A" dataDxfId="136"/>
    <tableColumn id="11" xr3:uid="{00000000-0010-0000-0A00-00000B000000}" name="F" dataDxfId="135"/>
    <tableColumn id="12" xr3:uid="{00000000-0010-0000-0A00-00000C000000}" name="Disk" dataDxfId="134"/>
    <tableColumn id="13" xr3:uid="{00000000-0010-0000-0A00-00000D000000}" name="Score">
      <calculatedColumnFormula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calculatedColumnFormula>
    </tableColumn>
    <tableColumn id="14" xr3:uid="{00000000-0010-0000-0A00-00000E000000}" name="m/s">
      <calculatedColumnFormula>IFERROR(PRODUCT($F$4,1/Table11[[#This Row],[Tijd]]),0)</calculatedColumnFormula>
    </tableColumn>
    <tableColumn id="15" xr3:uid="{00000000-0010-0000-0A00-00000F000000}" name="Fouten">
      <calculatedColumnFormula>SUM(Table11[[#This Row],[W]],Table11[[#This Row],[A]],Table11[[#This Row],[F]])*5</calculatedColumnFormula>
    </tableColumn>
    <tableColumn id="16" xr3:uid="{00000000-0010-0000-0A00-000010000000}" name="Sorteren">
      <calculatedColumnFormula>TEXT(Table11[[#This Row],[Score]],"00,00")&amp;TEXT(Table11[[#This Row],[Fouten]],"00")&amp;TEXT(Table11[[#This Row],[Tijd]],"00,000")</calculatedColumnFormula>
    </tableColumn>
    <tableColumn id="17" xr3:uid="{00000000-0010-0000-0A00-000011000000}" name="Waarschuwing">
      <calculatedColumnFormula>IF(IFERROR(VLOOKUP(Table11[[#This Row],[SNR]],Deelnemers[#Data],7,0),0)&lt;&gt;$C$4,"Loopt niet in deze groep!",IF(COUNTIF(Table11[SNR],Table11[[#This Row],[SNR]])&gt;1,"Dubbel",""))</calculatedColumnFormula>
    </tableColumn>
  </tableColumns>
  <tableStyleInfo name="TableStyleMedium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7:Q36" totalsRowShown="0">
  <autoFilter ref="A7:Q36" xr:uid="{00000000-0009-0000-0100-00000C000000}"/>
  <sortState ref="A8:Q36">
    <sortCondition ref="P7:P36"/>
  </sortState>
  <tableColumns count="17">
    <tableColumn id="1" xr3:uid="{00000000-0010-0000-0B00-000001000000}" name="Licentie">
      <calculatedColumnFormula>IFERROR(VLOOKUP(Table12[[#This Row],[SNR]],Deelnemers[#Data],2,0),"")</calculatedColumnFormula>
    </tableColumn>
    <tableColumn id="2" xr3:uid="{00000000-0010-0000-0B00-000002000000}" name="Plaats">
      <calculatedColumnFormula>IF(VLOOKUP(Table12[[#This Row],[SNR]],Deelnemers[#Data],8,0)&gt;0,"BM",IF(Table12[[#This Row],[Score]]="Disk",0,MATCH(Table12[[#This Row],[Sorteren]],Table12[Sorteren],0)-COUNTIF($B$7:$B7,"BM")))</calculatedColumnFormula>
    </tableColumn>
    <tableColumn id="3" xr3:uid="{00000000-0010-0000-0B00-000003000000}" name="Punt"/>
    <tableColumn id="4" xr3:uid="{00000000-0010-0000-0B00-000004000000}" name="Handler">
      <calculatedColumnFormula>IFERROR(VLOOKUP(Table12[[#This Row],[SNR]],Deelnemers[#Data],3,0),"")</calculatedColumnFormula>
    </tableColumn>
    <tableColumn id="5" xr3:uid="{00000000-0010-0000-0B00-000005000000}" name="Hond">
      <calculatedColumnFormula>IFERROR(VLOOKUP(Table12[[#This Row],[SNR]],Deelnemers[#Data],4,0),"")</calculatedColumnFormula>
    </tableColumn>
    <tableColumn id="6" xr3:uid="{00000000-0010-0000-0B00-000006000000}" name="Ras">
      <calculatedColumnFormula>IFERROR(VLOOKUP(Table12[[#This Row],[SNR]],Deelnemers[#Data],6,0),"")</calculatedColumnFormula>
    </tableColumn>
    <tableColumn id="7" xr3:uid="{00000000-0010-0000-0B00-000007000000}" name="SNR" dataDxfId="131"/>
    <tableColumn id="8" xr3:uid="{00000000-0010-0000-0B00-000008000000}" name="Tijd" dataDxfId="130"/>
    <tableColumn id="9" xr3:uid="{00000000-0010-0000-0B00-000009000000}" name="W" dataDxfId="129"/>
    <tableColumn id="10" xr3:uid="{00000000-0010-0000-0B00-00000A000000}" name="A" dataDxfId="128"/>
    <tableColumn id="11" xr3:uid="{00000000-0010-0000-0B00-00000B000000}" name="F" dataDxfId="127"/>
    <tableColumn id="12" xr3:uid="{00000000-0010-0000-0B00-00000C000000}" name="Disk" dataDxfId="126"/>
    <tableColumn id="13" xr3:uid="{00000000-0010-0000-0B00-00000D000000}" name="Score">
      <calculatedColumnFormula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calculatedColumnFormula>
    </tableColumn>
    <tableColumn id="14" xr3:uid="{00000000-0010-0000-0B00-00000E000000}" name="m/s">
      <calculatedColumnFormula>IFERROR(PRODUCT($F$4,1/Table12[[#This Row],[Tijd]]),0)</calculatedColumnFormula>
    </tableColumn>
    <tableColumn id="15" xr3:uid="{00000000-0010-0000-0B00-00000F000000}" name="Fouten">
      <calculatedColumnFormula>SUM(Table12[[#This Row],[W]],Table12[[#This Row],[A]],Table12[[#This Row],[F]])*5</calculatedColumnFormula>
    </tableColumn>
    <tableColumn id="16" xr3:uid="{00000000-0010-0000-0B00-000010000000}" name="Sorteren">
      <calculatedColumnFormula>TEXT(Table12[[#This Row],[Score]],"00,00")&amp;TEXT(Table12[[#This Row],[Fouten]],"00")&amp;TEXT(Table12[[#This Row],[Tijd]],"00,000")</calculatedColumnFormula>
    </tableColumn>
    <tableColumn id="17" xr3:uid="{00000000-0010-0000-0B00-000011000000}" name="Waarschuwing">
      <calculatedColumnFormula>IF(IFERROR(VLOOKUP(Table12[[#This Row],[SNR]],Deelnemers[#Data],7,0),0)&lt;&gt;$C$4,"Loopt niet in deze groep!",IF(COUNTIF(Table12[SNR],Table12[[#This Row],[SNR]])&gt;1,"Dubbel",""))</calculatedColumnFormula>
    </tableColumn>
  </tableColumns>
  <tableStyleInfo name="TableStyleMedium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7:Q36" totalsRowShown="0">
  <autoFilter ref="A7:Q36" xr:uid="{00000000-0009-0000-0100-00000D000000}"/>
  <sortState ref="A8:Q36">
    <sortCondition ref="P7:P36"/>
  </sortState>
  <tableColumns count="17">
    <tableColumn id="1" xr3:uid="{00000000-0010-0000-0C00-000001000000}" name="Licentie">
      <calculatedColumnFormula>IFERROR(VLOOKUP(Table13[[#This Row],[SNR]],Deelnemers[#Data],2,0),"")</calculatedColumnFormula>
    </tableColumn>
    <tableColumn id="2" xr3:uid="{00000000-0010-0000-0C00-000002000000}" name="Plaats">
      <calculatedColumnFormula>IF(VLOOKUP(Table13[[#This Row],[SNR]],Deelnemers[#Data],8,0)&gt;0,"BM",IF(Table13[[#This Row],[Score]]="Disk",0,MATCH(Table13[[#This Row],[Sorteren]],Table13[Sorteren],0)-COUNTIF($B$7:$B7,"BM")))</calculatedColumnFormula>
    </tableColumn>
    <tableColumn id="3" xr3:uid="{00000000-0010-0000-0C00-000003000000}" name="Punt"/>
    <tableColumn id="4" xr3:uid="{00000000-0010-0000-0C00-000004000000}" name="Handler">
      <calculatedColumnFormula>IFERROR(VLOOKUP(Table13[[#This Row],[SNR]],Deelnemers[#Data],3,0),"")</calculatedColumnFormula>
    </tableColumn>
    <tableColumn id="5" xr3:uid="{00000000-0010-0000-0C00-000005000000}" name="Hond">
      <calculatedColumnFormula>IFERROR(VLOOKUP(Table13[[#This Row],[SNR]],Deelnemers[#Data],4,0),"")</calculatedColumnFormula>
    </tableColumn>
    <tableColumn id="6" xr3:uid="{00000000-0010-0000-0C00-000006000000}" name="Ras">
      <calculatedColumnFormula>IFERROR(VLOOKUP(Table13[[#This Row],[SNR]],Deelnemers[#Data],6,0),"")</calculatedColumnFormula>
    </tableColumn>
    <tableColumn id="7" xr3:uid="{00000000-0010-0000-0C00-000007000000}" name="SNR" dataDxfId="123"/>
    <tableColumn id="8" xr3:uid="{00000000-0010-0000-0C00-000008000000}" name="Tijd" dataDxfId="122"/>
    <tableColumn id="9" xr3:uid="{00000000-0010-0000-0C00-000009000000}" name="W" dataDxfId="121"/>
    <tableColumn id="10" xr3:uid="{00000000-0010-0000-0C00-00000A000000}" name="A" dataDxfId="120"/>
    <tableColumn id="11" xr3:uid="{00000000-0010-0000-0C00-00000B000000}" name="F" dataDxfId="119"/>
    <tableColumn id="12" xr3:uid="{00000000-0010-0000-0C00-00000C000000}" name="Disk" dataDxfId="118"/>
    <tableColumn id="13" xr3:uid="{00000000-0010-0000-0C00-00000D000000}" name="Score">
      <calculatedColumnFormula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calculatedColumnFormula>
    </tableColumn>
    <tableColumn id="14" xr3:uid="{00000000-0010-0000-0C00-00000E000000}" name="m/s">
      <calculatedColumnFormula>IFERROR(PRODUCT($F$4,1/Table13[[#This Row],[Tijd]]),0)</calculatedColumnFormula>
    </tableColumn>
    <tableColumn id="15" xr3:uid="{00000000-0010-0000-0C00-00000F000000}" name="Fouten">
      <calculatedColumnFormula>SUM(Table13[[#This Row],[W]],Table13[[#This Row],[A]],Table13[[#This Row],[F]])*5</calculatedColumnFormula>
    </tableColumn>
    <tableColumn id="16" xr3:uid="{00000000-0010-0000-0C00-000010000000}" name="Sorteren">
      <calculatedColumnFormula>TEXT(Table13[[#This Row],[Score]],"00,00")&amp;TEXT(Table13[[#This Row],[Fouten]],"00")&amp;TEXT(Table13[[#This Row],[Tijd]],"00,000")</calculatedColumnFormula>
    </tableColumn>
    <tableColumn id="17" xr3:uid="{00000000-0010-0000-0C00-000011000000}" name="Waarschuwing">
      <calculatedColumnFormula>IF(IFERROR(VLOOKUP(Table13[[#This Row],[SNR]],Deelnemers[#Data],7,0),0)&lt;&gt;$C$4,"Loopt niet in deze groep!",IF(COUNTIF(Table13[SNR],Table13[[#This Row],[SNR]])&gt;1,"Dubbel",""))</calculatedColumnFormula>
    </tableColumn>
  </tableColumns>
  <tableStyleInfo name="TableStyleMedium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7:Q12" totalsRowShown="0">
  <autoFilter ref="A7:Q12" xr:uid="{00000000-0009-0000-0100-00000E000000}"/>
  <sortState ref="A8:Q12">
    <sortCondition ref="P7:P12"/>
  </sortState>
  <tableColumns count="17">
    <tableColumn id="1" xr3:uid="{00000000-0010-0000-0D00-000001000000}" name="Licentie">
      <calculatedColumnFormula>IFERROR(VLOOKUP(Table14[[#This Row],[SNR]],Deelnemers[#Data],2,0),"")</calculatedColumnFormula>
    </tableColumn>
    <tableColumn id="2" xr3:uid="{00000000-0010-0000-0D00-000002000000}" name="Plaats">
      <calculatedColumnFormula>IF(VLOOKUP(Table14[[#This Row],[SNR]],Deelnemers[#Data],8,0)&gt;0,"BM",IF(Table14[[#This Row],[Score]]="Disk",0,MATCH(Table14[[#This Row],[Sorteren]],Table14[Sorteren],0)-COUNTIF($B$7:$B7,"BM")))</calculatedColumnFormula>
    </tableColumn>
    <tableColumn id="3" xr3:uid="{00000000-0010-0000-0D00-000003000000}" name="Punt"/>
    <tableColumn id="4" xr3:uid="{00000000-0010-0000-0D00-000004000000}" name="Handler">
      <calculatedColumnFormula>IFERROR(VLOOKUP(Table14[[#This Row],[SNR]],Deelnemers[#Data],3,0),"")</calculatedColumnFormula>
    </tableColumn>
    <tableColumn id="5" xr3:uid="{00000000-0010-0000-0D00-000005000000}" name="Hond">
      <calculatedColumnFormula>IFERROR(VLOOKUP(Table14[[#This Row],[SNR]],Deelnemers[#Data],4,0),"")</calculatedColumnFormula>
    </tableColumn>
    <tableColumn id="6" xr3:uid="{00000000-0010-0000-0D00-000006000000}" name="Ras">
      <calculatedColumnFormula>IFERROR(VLOOKUP(Table14[[#This Row],[SNR]],Deelnemers[#Data],6,0),"")</calculatedColumnFormula>
    </tableColumn>
    <tableColumn id="7" xr3:uid="{00000000-0010-0000-0D00-000007000000}" name="SNR" dataDxfId="115"/>
    <tableColumn id="8" xr3:uid="{00000000-0010-0000-0D00-000008000000}" name="Tijd" dataDxfId="114"/>
    <tableColumn id="9" xr3:uid="{00000000-0010-0000-0D00-000009000000}" name="W" dataDxfId="113"/>
    <tableColumn id="10" xr3:uid="{00000000-0010-0000-0D00-00000A000000}" name="A" dataDxfId="112"/>
    <tableColumn id="11" xr3:uid="{00000000-0010-0000-0D00-00000B000000}" name="F" dataDxfId="111"/>
    <tableColumn id="12" xr3:uid="{00000000-0010-0000-0D00-00000C000000}" name="Disk" dataDxfId="110"/>
    <tableColumn id="13" xr3:uid="{00000000-0010-0000-0D00-00000D000000}" name="Score">
      <calculatedColumnFormula>IF(OR(ISNUMBER(SEARCH("Jumping", $C$5)),ISNUMBER(SEARCH("Vast Parcours", $C$5)), ISNUMBER(SEARCH("NKT", $C$5))),IF(OR(Table14[[#This Row],[Disk]]&gt;0,Table14[[#This Row],[W]]&gt;=3,Table14[[#This Row],[Tijd]]&gt;$F$3),"Disk",IF(ISBLANK(Table14[[#This Row],[Tijd]]),"",Table14[[#This Row],[Fouten]]+MAX(0,Table14[[#This Row],[Tijd]]-$F$2))),"-")</calculatedColumnFormula>
    </tableColumn>
    <tableColumn id="14" xr3:uid="{00000000-0010-0000-0D00-00000E000000}" name="m/s">
      <calculatedColumnFormula>IFERROR(PRODUCT($F$4,1/Table14[[#This Row],[Tijd]]),0)</calculatedColumnFormula>
    </tableColumn>
    <tableColumn id="15" xr3:uid="{00000000-0010-0000-0D00-00000F000000}" name="Fouten">
      <calculatedColumnFormula>SUM(Table14[[#This Row],[W]],Table14[[#This Row],[A]],Table14[[#This Row],[F]])*5</calculatedColumnFormula>
    </tableColumn>
    <tableColumn id="16" xr3:uid="{00000000-0010-0000-0D00-000010000000}" name="Sorteren">
      <calculatedColumnFormula>TEXT(Table14[[#This Row],[Score]],"00,00")&amp;TEXT(Table14[[#This Row],[Fouten]],"00")&amp;TEXT(Table14[[#This Row],[Tijd]],"00,000")</calculatedColumnFormula>
    </tableColumn>
    <tableColumn id="17" xr3:uid="{00000000-0010-0000-0D00-000011000000}" name="Waarschuwing">
      <calculatedColumnFormula>IF(IFERROR(VLOOKUP(Table14[[#This Row],[SNR]],Deelnemers[#Data],7,0),0)&lt;&gt;$C$4,"Loopt niet in deze groep!",IF(COUNTIF(Table14[SNR],Table14[[#This Row],[SNR]])&gt;1,"Dubbel",""))</calculatedColumnFormula>
    </tableColumn>
  </tableColumns>
  <tableStyleInfo name="TableStyleMedium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7:Q12" totalsRowShown="0">
  <autoFilter ref="A7:Q12" xr:uid="{00000000-0009-0000-0100-00000F000000}"/>
  <sortState ref="A8:Q12">
    <sortCondition ref="P7:P12"/>
  </sortState>
  <tableColumns count="17">
    <tableColumn id="1" xr3:uid="{00000000-0010-0000-0E00-000001000000}" name="Licentie">
      <calculatedColumnFormula>IFERROR(VLOOKUP(Table15[[#This Row],[SNR]],Deelnemers[#Data],2,0),"")</calculatedColumnFormula>
    </tableColumn>
    <tableColumn id="2" xr3:uid="{00000000-0010-0000-0E00-000002000000}" name="Plaats">
      <calculatedColumnFormula>IF(VLOOKUP(Table15[[#This Row],[SNR]],Deelnemers[#Data],8,0)&gt;0,"BM",IF(Table15[[#This Row],[Score]]="Disk",0,MATCH(Table15[[#This Row],[Sorteren]],Table15[Sorteren],0)-COUNTIF($B$7:$B7,"BM")))</calculatedColumnFormula>
    </tableColumn>
    <tableColumn id="3" xr3:uid="{00000000-0010-0000-0E00-000003000000}" name="Punt"/>
    <tableColumn id="4" xr3:uid="{00000000-0010-0000-0E00-000004000000}" name="Handler">
      <calculatedColumnFormula>IFERROR(VLOOKUP(Table15[[#This Row],[SNR]],Deelnemers[#Data],3,0),"")</calculatedColumnFormula>
    </tableColumn>
    <tableColumn id="5" xr3:uid="{00000000-0010-0000-0E00-000005000000}" name="Hond">
      <calculatedColumnFormula>IFERROR(VLOOKUP(Table15[[#This Row],[SNR]],Deelnemers[#Data],4,0),"")</calculatedColumnFormula>
    </tableColumn>
    <tableColumn id="6" xr3:uid="{00000000-0010-0000-0E00-000006000000}" name="Ras">
      <calculatedColumnFormula>IFERROR(VLOOKUP(Table15[[#This Row],[SNR]],Deelnemers[#Data],6,0),"")</calculatedColumnFormula>
    </tableColumn>
    <tableColumn id="7" xr3:uid="{00000000-0010-0000-0E00-000007000000}" name="SNR" dataDxfId="107"/>
    <tableColumn id="8" xr3:uid="{00000000-0010-0000-0E00-000008000000}" name="Tijd" dataDxfId="106"/>
    <tableColumn id="9" xr3:uid="{00000000-0010-0000-0E00-000009000000}" name="W" dataDxfId="105"/>
    <tableColumn id="10" xr3:uid="{00000000-0010-0000-0E00-00000A000000}" name="A" dataDxfId="104"/>
    <tableColumn id="11" xr3:uid="{00000000-0010-0000-0E00-00000B000000}" name="F" dataDxfId="103"/>
    <tableColumn id="12" xr3:uid="{00000000-0010-0000-0E00-00000C000000}" name="Disk" dataDxfId="102"/>
    <tableColumn id="13" xr3:uid="{00000000-0010-0000-0E00-00000D000000}" name="Score">
      <calculatedColumnFormula>IF(OR(ISNUMBER(SEARCH("Jumping", $C$5)),ISNUMBER(SEARCH("Vast Parcours", $C$5)), ISNUMBER(SEARCH("NKT", $C$5))),IF(OR(Table15[[#This Row],[Disk]]&gt;0,Table15[[#This Row],[W]]&gt;=3,Table15[[#This Row],[Tijd]]&gt;$F$3),"Disk",IF(ISBLANK(Table15[[#This Row],[Tijd]]),"",Table15[[#This Row],[Fouten]]+MAX(0,Table15[[#This Row],[Tijd]]-$F$2))),"-")</calculatedColumnFormula>
    </tableColumn>
    <tableColumn id="14" xr3:uid="{00000000-0010-0000-0E00-00000E000000}" name="m/s">
      <calculatedColumnFormula>IFERROR(PRODUCT($F$4,1/Table15[[#This Row],[Tijd]]),0)</calculatedColumnFormula>
    </tableColumn>
    <tableColumn id="15" xr3:uid="{00000000-0010-0000-0E00-00000F000000}" name="Fouten">
      <calculatedColumnFormula>SUM(Table15[[#This Row],[W]],Table15[[#This Row],[A]],Table15[[#This Row],[F]])*5</calculatedColumnFormula>
    </tableColumn>
    <tableColumn id="16" xr3:uid="{00000000-0010-0000-0E00-000010000000}" name="Sorteren">
      <calculatedColumnFormula>TEXT(Table15[[#This Row],[Score]],"00,00")&amp;TEXT(Table15[[#This Row],[Fouten]],"00")&amp;TEXT(Table15[[#This Row],[Tijd]],"00,000")</calculatedColumnFormula>
    </tableColumn>
    <tableColumn id="17" xr3:uid="{00000000-0010-0000-0E00-000011000000}" name="Waarschuwing">
      <calculatedColumnFormula>IF(IFERROR(VLOOKUP(Table15[[#This Row],[SNR]],Deelnemers[#Data],7,0),0)&lt;&gt;$C$4,"Loopt niet in deze groep!",IF(COUNTIF(Table15[SNR],Table15[[#This Row],[SNR]])&gt;1,"Dubbel",""))</calculatedColumnFormula>
    </tableColumn>
  </tableColumns>
  <tableStyleInfo name="TableStyleMedium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6" displayName="Table16" ref="A7:Q12" totalsRowShown="0">
  <autoFilter ref="A7:Q12" xr:uid="{00000000-0009-0000-0100-000010000000}"/>
  <sortState ref="A8:Q12">
    <sortCondition ref="P7:P12"/>
  </sortState>
  <tableColumns count="17">
    <tableColumn id="1" xr3:uid="{00000000-0010-0000-0F00-000001000000}" name="Licentie">
      <calculatedColumnFormula>IFERROR(VLOOKUP(Table16[[#This Row],[SNR]],Deelnemers[#Data],2,0),"")</calculatedColumnFormula>
    </tableColumn>
    <tableColumn id="2" xr3:uid="{00000000-0010-0000-0F00-000002000000}" name="Plaats">
      <calculatedColumnFormula>IF(VLOOKUP(Table16[[#This Row],[SNR]],Deelnemers[#Data],8,0)&gt;0,"BM",IF(Table16[[#This Row],[Score]]="Disk",0,MATCH(Table16[[#This Row],[Sorteren]],Table16[Sorteren],0)-COUNTIF($B$7:$B7,"BM")))</calculatedColumnFormula>
    </tableColumn>
    <tableColumn id="3" xr3:uid="{00000000-0010-0000-0F00-000003000000}" name="Punt"/>
    <tableColumn id="4" xr3:uid="{00000000-0010-0000-0F00-000004000000}" name="Handler">
      <calculatedColumnFormula>IFERROR(VLOOKUP(Table16[[#This Row],[SNR]],Deelnemers[#Data],3,0),"")</calculatedColumnFormula>
    </tableColumn>
    <tableColumn id="5" xr3:uid="{00000000-0010-0000-0F00-000005000000}" name="Hond">
      <calculatedColumnFormula>IFERROR(VLOOKUP(Table16[[#This Row],[SNR]],Deelnemers[#Data],4,0),"")</calculatedColumnFormula>
    </tableColumn>
    <tableColumn id="6" xr3:uid="{00000000-0010-0000-0F00-000006000000}" name="Ras">
      <calculatedColumnFormula>IFERROR(VLOOKUP(Table16[[#This Row],[SNR]],Deelnemers[#Data],6,0),"")</calculatedColumnFormula>
    </tableColumn>
    <tableColumn id="7" xr3:uid="{00000000-0010-0000-0F00-000007000000}" name="SNR" dataDxfId="99"/>
    <tableColumn id="8" xr3:uid="{00000000-0010-0000-0F00-000008000000}" name="Tijd" dataDxfId="98"/>
    <tableColumn id="9" xr3:uid="{00000000-0010-0000-0F00-000009000000}" name="W" dataDxfId="97"/>
    <tableColumn id="10" xr3:uid="{00000000-0010-0000-0F00-00000A000000}" name="A" dataDxfId="96"/>
    <tableColumn id="11" xr3:uid="{00000000-0010-0000-0F00-00000B000000}" name="F" dataDxfId="95"/>
    <tableColumn id="12" xr3:uid="{00000000-0010-0000-0F00-00000C000000}" name="Disk" dataDxfId="94"/>
    <tableColumn id="13" xr3:uid="{00000000-0010-0000-0F00-00000D000000}" name="Score">
      <calculatedColumnFormula>IF(OR(ISNUMBER(SEARCH("Jumping", $C$5)),ISNUMBER(SEARCH("Vast Parcours", $C$5)), ISNUMBER(SEARCH("NKT", $C$5))),IF(OR(Table16[[#This Row],[Disk]]&gt;0,Table16[[#This Row],[W]]&gt;=3,Table16[[#This Row],[Tijd]]&gt;$F$3),"Disk",IF(ISBLANK(Table16[[#This Row],[Tijd]]),"",Table16[[#This Row],[Fouten]]+MAX(0,Table16[[#This Row],[Tijd]]-$F$2))),"-")</calculatedColumnFormula>
    </tableColumn>
    <tableColumn id="14" xr3:uid="{00000000-0010-0000-0F00-00000E000000}" name="m/s">
      <calculatedColumnFormula>IFERROR(PRODUCT($F$4,1/Table16[[#This Row],[Tijd]]),0)</calculatedColumnFormula>
    </tableColumn>
    <tableColumn id="15" xr3:uid="{00000000-0010-0000-0F00-00000F000000}" name="Fouten">
      <calculatedColumnFormula>SUM(Table16[[#This Row],[W]],Table16[[#This Row],[A]],Table16[[#This Row],[F]])*5</calculatedColumnFormula>
    </tableColumn>
    <tableColumn id="16" xr3:uid="{00000000-0010-0000-0F00-000010000000}" name="Sorteren">
      <calculatedColumnFormula>TEXT(Table16[[#This Row],[Score]],"00,00")&amp;TEXT(Table16[[#This Row],[Fouten]],"00")&amp;TEXT(Table16[[#This Row],[Tijd]],"00,000")</calculatedColumnFormula>
    </tableColumn>
    <tableColumn id="17" xr3:uid="{00000000-0010-0000-0F00-000011000000}" name="Waarschuwing">
      <calculatedColumnFormula>IF(IFERROR(VLOOKUP(Table16[[#This Row],[SNR]],Deelnemers[#Data],7,0),0)&lt;&gt;$C$4,"Loopt niet in deze groep!",IF(COUNTIF(Table16[SNR],Table16[[#This Row],[SNR]])&gt;1,"Dubbel",""))</calculatedColumnFormula>
    </tableColumn>
  </tableColumns>
  <tableStyleInfo name="TableStyleMedium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17" displayName="Table17" ref="A7:Q10" totalsRowShown="0">
  <autoFilter ref="A7:Q10" xr:uid="{00000000-0009-0000-0100-000011000000}"/>
  <sortState ref="A8:Q10">
    <sortCondition ref="P7:P10"/>
  </sortState>
  <tableColumns count="17">
    <tableColumn id="1" xr3:uid="{00000000-0010-0000-1000-000001000000}" name="Licentie">
      <calculatedColumnFormula>IFERROR(VLOOKUP(Table17[[#This Row],[SNR]],Deelnemers[#Data],2,0),"")</calculatedColumnFormula>
    </tableColumn>
    <tableColumn id="2" xr3:uid="{00000000-0010-0000-1000-000002000000}" name="Plaats">
      <calculatedColumnFormula>IF(VLOOKUP(Table17[[#This Row],[SNR]],Deelnemers[#Data],8,0)&gt;0,"BM",IF(Table17[[#This Row],[Score]]="Disk",0,MATCH(Table17[[#This Row],[Sorteren]],Table17[Sorteren],0)-COUNTIF($B$7:$B7,"BM")))</calculatedColumnFormula>
    </tableColumn>
    <tableColumn id="3" xr3:uid="{00000000-0010-0000-1000-000003000000}" name="Punt"/>
    <tableColumn id="4" xr3:uid="{00000000-0010-0000-1000-000004000000}" name="Handler">
      <calculatedColumnFormula>IFERROR(VLOOKUP(Table17[[#This Row],[SNR]],Deelnemers[#Data],3,0),"")</calculatedColumnFormula>
    </tableColumn>
    <tableColumn id="5" xr3:uid="{00000000-0010-0000-1000-000005000000}" name="Hond">
      <calculatedColumnFormula>IFERROR(VLOOKUP(Table17[[#This Row],[SNR]],Deelnemers[#Data],4,0),"")</calculatedColumnFormula>
    </tableColumn>
    <tableColumn id="6" xr3:uid="{00000000-0010-0000-1000-000006000000}" name="Ras">
      <calculatedColumnFormula>IFERROR(VLOOKUP(Table17[[#This Row],[SNR]],Deelnemers[#Data],6,0),"")</calculatedColumnFormula>
    </tableColumn>
    <tableColumn id="7" xr3:uid="{00000000-0010-0000-1000-000007000000}" name="SNR" dataDxfId="91"/>
    <tableColumn id="8" xr3:uid="{00000000-0010-0000-1000-000008000000}" name="Tijd" dataDxfId="90"/>
    <tableColumn id="9" xr3:uid="{00000000-0010-0000-1000-000009000000}" name="W" dataDxfId="89"/>
    <tableColumn id="10" xr3:uid="{00000000-0010-0000-1000-00000A000000}" name="A" dataDxfId="88"/>
    <tableColumn id="11" xr3:uid="{00000000-0010-0000-1000-00000B000000}" name="F" dataDxfId="87"/>
    <tableColumn id="12" xr3:uid="{00000000-0010-0000-1000-00000C000000}" name="Disk" dataDxfId="86"/>
    <tableColumn id="13" xr3:uid="{00000000-0010-0000-1000-00000D000000}" name="Score">
      <calculatedColumnFormula>IF(OR(ISNUMBER(SEARCH("Jumping", $C$5)),ISNUMBER(SEARCH("Vast Parcours", $C$5)), ISNUMBER(SEARCH("NKT", $C$5))),IF(OR(Table17[[#This Row],[Disk]]&gt;0,Table17[[#This Row],[W]]&gt;=3,Table17[[#This Row],[Tijd]]&gt;$F$3),"Disk",IF(ISBLANK(Table17[[#This Row],[Tijd]]),"",Table17[[#This Row],[Fouten]]+MAX(0,Table17[[#This Row],[Tijd]]-$F$2))),"-")</calculatedColumnFormula>
    </tableColumn>
    <tableColumn id="14" xr3:uid="{00000000-0010-0000-1000-00000E000000}" name="m/s">
      <calculatedColumnFormula>IFERROR(PRODUCT($F$4,1/Table17[[#This Row],[Tijd]]),0)</calculatedColumnFormula>
    </tableColumn>
    <tableColumn id="15" xr3:uid="{00000000-0010-0000-1000-00000F000000}" name="Fouten">
      <calculatedColumnFormula>SUM(Table17[[#This Row],[W]],Table17[[#This Row],[A]],Table17[[#This Row],[F]])*5</calculatedColumnFormula>
    </tableColumn>
    <tableColumn id="16" xr3:uid="{00000000-0010-0000-1000-000010000000}" name="Sorteren">
      <calculatedColumnFormula>TEXT(Table17[[#This Row],[Score]],"00,00")&amp;TEXT(Table17[[#This Row],[Fouten]],"00")&amp;TEXT(Table17[[#This Row],[Tijd]],"00,000")</calculatedColumnFormula>
    </tableColumn>
    <tableColumn id="17" xr3:uid="{00000000-0010-0000-1000-000011000000}" name="Waarschuwing">
      <calculatedColumnFormula>IF(IFERROR(VLOOKUP(Table17[[#This Row],[SNR]],Deelnemers[#Data],7,0),0)&lt;&gt;$C$4,"Loopt niet in deze groep!",IF(COUNTIF(Table17[SNR],Table17[[#This Row],[SNR]])&gt;1,"Dubbel",""))</calculatedColumnFormula>
    </tableColumn>
  </tableColumns>
  <tableStyleInfo name="TableStyleMedium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F77543D-A3E7-4C48-9B63-B46B08843A42}" name="Table1930" displayName="Table1930" ref="A7:Q11" totalsRowShown="0">
  <autoFilter ref="A7:Q11" xr:uid="{00000000-0009-0000-0100-000013000000}"/>
  <sortState ref="A8:Q11">
    <sortCondition ref="P7:P11"/>
  </sortState>
  <tableColumns count="17">
    <tableColumn id="1" xr3:uid="{7B5BB4A4-8658-5E4C-B74A-F554DC9D2A72}" name="Licentie">
      <calculatedColumnFormula>IFERROR(VLOOKUP(Table1930[[#This Row],[SNR]],Deelnemers[#Data],2,0),"")</calculatedColumnFormula>
    </tableColumn>
    <tableColumn id="2" xr3:uid="{E20A9975-AEA6-D444-ADDE-0E13EC8999AB}" name="Plaats">
      <calculatedColumnFormula>IF(VLOOKUP(Table1930[[#This Row],[SNR]],Deelnemers[#Data],8,0)&gt;0,"BM",IF(Table1930[[#This Row],[Score]]="Disk",0,MATCH(Table1930[[#This Row],[Sorteren]],Table1930[Sorteren],0)-COUNTIF($B$7:$B7,"BM")))</calculatedColumnFormula>
    </tableColumn>
    <tableColumn id="3" xr3:uid="{DCFD2503-DE04-7347-92BE-92E6B2223D7F}" name="Punt"/>
    <tableColumn id="4" xr3:uid="{558DD88F-CBA7-AC43-BC55-6F4771A4FD2F}" name="Handler">
      <calculatedColumnFormula>IFERROR(VLOOKUP(Table1930[[#This Row],[SNR]],Deelnemers[#Data],3,0),"")</calculatedColumnFormula>
    </tableColumn>
    <tableColumn id="5" xr3:uid="{29F9558B-E5EC-D94D-85A3-5A231BC9955C}" name="Hond">
      <calculatedColumnFormula>IFERROR(VLOOKUP(Table1930[[#This Row],[SNR]],Deelnemers[#Data],4,0),"")</calculatedColumnFormula>
    </tableColumn>
    <tableColumn id="6" xr3:uid="{4ACCACDC-5D2B-934E-A281-5EB347672F9A}" name="Ras">
      <calculatedColumnFormula>IFERROR(VLOOKUP(Table1930[[#This Row],[SNR]],Deelnemers[#Data],6,0),"")</calculatedColumnFormula>
    </tableColumn>
    <tableColumn id="7" xr3:uid="{200A820B-38F9-C24F-A415-F79E4A0F6988}" name="SNR" dataDxfId="83"/>
    <tableColumn id="8" xr3:uid="{CCE6A6B0-BA12-5049-AE73-251EF9D14FDD}" name="Tijd" dataDxfId="82"/>
    <tableColumn id="9" xr3:uid="{75886BE8-9AFD-024E-803A-AF51190FD456}" name="W" dataDxfId="81"/>
    <tableColumn id="10" xr3:uid="{5E56C124-1F4D-4046-82EA-502B6DC63005}" name="A" dataDxfId="80"/>
    <tableColumn id="11" xr3:uid="{67D4E362-3468-424C-B8FE-16B59186B2E8}" name="F" dataDxfId="79"/>
    <tableColumn id="12" xr3:uid="{7A8CE1AA-556B-FA4D-A80F-8E5905425453}" name="Disk" dataDxfId="78"/>
    <tableColumn id="13" xr3:uid="{5593EACB-3541-474D-9355-0F630C8CF7EA}" name="Score">
      <calculatedColumnFormula>IF(OR(ISNUMBER(SEARCH("Jumping", $C$5)),ISNUMBER(SEARCH("Vast Parcours", $C$5)), ISNUMBER(SEARCH("NKT", $C$5))),IF(OR(Table1930[[#This Row],[Disk]]&gt;0,Table1930[[#This Row],[W]]&gt;=3,Table1930[[#This Row],[Tijd]]&gt;$F$3),"Disk",IF(ISBLANK(Table1930[[#This Row],[Tijd]]),"",Table1930[[#This Row],[Fouten]]+MAX(0,Table1930[[#This Row],[Tijd]]-$F$2))),"-")</calculatedColumnFormula>
    </tableColumn>
    <tableColumn id="14" xr3:uid="{50571685-22FE-4945-B3AC-CE9663BADF86}" name="m/s">
      <calculatedColumnFormula>IFERROR(PRODUCT($F$4,1/Table1930[[#This Row],[Tijd]]),0)</calculatedColumnFormula>
    </tableColumn>
    <tableColumn id="15" xr3:uid="{5996E9C1-1373-B64E-9F51-82B98ECF54C0}" name="Fouten">
      <calculatedColumnFormula>SUM(Table1930[[#This Row],[W]],Table1930[[#This Row],[A]],Table1930[[#This Row],[F]])*5</calculatedColumnFormula>
    </tableColumn>
    <tableColumn id="16" xr3:uid="{8D2FFE20-6464-DE4B-812D-764EEAF45631}" name="Sorteren">
      <calculatedColumnFormula>TEXT(Table1930[[#This Row],[Score]],"00,00")&amp;TEXT(Table1930[[#This Row],[Fouten]],"00")&amp;TEXT(Table1930[[#This Row],[Tijd]],"00,000")</calculatedColumnFormula>
    </tableColumn>
    <tableColumn id="17" xr3:uid="{D32159C7-00A5-B341-99DA-5880A224FACA}" name="Waarschuwing">
      <calculatedColumnFormula>IF(IFERROR(VLOOKUP(Table1930[[#This Row],[SNR]],Deelnemers[#Data],7,0),0)&lt;&gt;$C$4,"Loopt niet in deze groep!",IF(COUNTIF(Table1930[SNR],Table1930[[#This Row],[SNR]])&gt;1,"Dubbel",""))</calculatedColumnFormula>
    </tableColumn>
  </tableColumns>
  <tableStyleInfo name="TableStyleMedium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19" displayName="Table19" ref="A7:Q11" totalsRowShown="0">
  <autoFilter ref="A7:Q11" xr:uid="{00000000-0009-0000-0100-000013000000}"/>
  <sortState ref="A8:Q11">
    <sortCondition ref="P7:P11"/>
  </sortState>
  <tableColumns count="17">
    <tableColumn id="1" xr3:uid="{00000000-0010-0000-1200-000001000000}" name="Licentie">
      <calculatedColumnFormula>IFERROR(VLOOKUP(Table19[[#This Row],[SNR]],Deelnemers[#Data],2,0),"")</calculatedColumnFormula>
    </tableColumn>
    <tableColumn id="2" xr3:uid="{00000000-0010-0000-1200-000002000000}" name="Plaats">
      <calculatedColumnFormula>IF(VLOOKUP(Table19[[#This Row],[SNR]],Deelnemers[#Data],8,0)&gt;0,"BM",IF(Table19[[#This Row],[Score]]="Disk",0,MATCH(Table19[[#This Row],[Sorteren]],Table19[Sorteren],0)-COUNTIF($B$7:$B7,"BM")))</calculatedColumnFormula>
    </tableColumn>
    <tableColumn id="3" xr3:uid="{00000000-0010-0000-1200-000003000000}" name="Punt"/>
    <tableColumn id="4" xr3:uid="{00000000-0010-0000-1200-000004000000}" name="Handler">
      <calculatedColumnFormula>IFERROR(VLOOKUP(Table19[[#This Row],[SNR]],Deelnemers[#Data],3,0),"")</calculatedColumnFormula>
    </tableColumn>
    <tableColumn id="5" xr3:uid="{00000000-0010-0000-1200-000005000000}" name="Hond">
      <calculatedColumnFormula>IFERROR(VLOOKUP(Table19[[#This Row],[SNR]],Deelnemers[#Data],4,0),"")</calculatedColumnFormula>
    </tableColumn>
    <tableColumn id="6" xr3:uid="{00000000-0010-0000-1200-000006000000}" name="Ras">
      <calculatedColumnFormula>IFERROR(VLOOKUP(Table19[[#This Row],[SNR]],Deelnemers[#Data],6,0),"")</calculatedColumnFormula>
    </tableColumn>
    <tableColumn id="7" xr3:uid="{00000000-0010-0000-1200-000007000000}" name="SNR" dataDxfId="75"/>
    <tableColumn id="8" xr3:uid="{00000000-0010-0000-1200-000008000000}" name="Tijd" dataDxfId="74"/>
    <tableColumn id="9" xr3:uid="{00000000-0010-0000-1200-000009000000}" name="W" dataDxfId="73"/>
    <tableColumn id="10" xr3:uid="{00000000-0010-0000-1200-00000A000000}" name="A" dataDxfId="72"/>
    <tableColumn id="11" xr3:uid="{00000000-0010-0000-1200-00000B000000}" name="F" dataDxfId="71"/>
    <tableColumn id="12" xr3:uid="{00000000-0010-0000-1200-00000C000000}" name="Disk" dataDxfId="70"/>
    <tableColumn id="13" xr3:uid="{00000000-0010-0000-1200-00000D000000}" name="Score">
      <calculatedColumnFormula>IF(OR(ISNUMBER(SEARCH("Jumping", $C$5)),ISNUMBER(SEARCH("Vast Parcours", $C$5)), ISNUMBER(SEARCH("NKT", $C$5))),IF(OR(Table19[[#This Row],[Disk]]&gt;0,Table19[[#This Row],[W]]&gt;=3,Table19[[#This Row],[Tijd]]&gt;$F$3),"Disk",IF(ISBLANK(Table19[[#This Row],[Tijd]]),"",Table19[[#This Row],[Fouten]]+MAX(0,Table19[[#This Row],[Tijd]]-$F$2))),"-")</calculatedColumnFormula>
    </tableColumn>
    <tableColumn id="14" xr3:uid="{00000000-0010-0000-1200-00000E000000}" name="m/s">
      <calculatedColumnFormula>IFERROR(PRODUCT($F$4,1/Table19[[#This Row],[Tijd]]),0)</calculatedColumnFormula>
    </tableColumn>
    <tableColumn id="15" xr3:uid="{00000000-0010-0000-1200-00000F000000}" name="Fouten">
      <calculatedColumnFormula>SUM(Table19[[#This Row],[W]],Table19[[#This Row],[A]],Table19[[#This Row],[F]])*5</calculatedColumnFormula>
    </tableColumn>
    <tableColumn id="16" xr3:uid="{00000000-0010-0000-1200-000010000000}" name="Sorteren">
      <calculatedColumnFormula>TEXT(Table19[[#This Row],[Score]],"00,00")&amp;TEXT(Table19[[#This Row],[Fouten]],"00")&amp;TEXT(Table19[[#This Row],[Tijd]],"00,000")</calculatedColumnFormula>
    </tableColumn>
    <tableColumn id="17" xr3:uid="{00000000-0010-0000-1200-000011000000}" name="Waarschuwing">
      <calculatedColumnFormula>IF(IFERROR(VLOOKUP(Table19[[#This Row],[SNR]],Deelnemers[#Data],7,0),0)&lt;&gt;$C$4,"Loopt niet in deze groep!",IF(COUNTIF(Table19[SNR],Table19[[#This Row],[SNR]])&gt;1,"Dubbel",""))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:Q35" totalsRowShown="0">
  <autoFilter ref="A7:Q35" xr:uid="{00000000-0009-0000-0100-000002000000}"/>
  <sortState ref="A8:Q35">
    <sortCondition ref="P7:P35"/>
  </sortState>
  <tableColumns count="17">
    <tableColumn id="1" xr3:uid="{00000000-0010-0000-0100-000001000000}" name="Licentie">
      <calculatedColumnFormula>IFERROR(VLOOKUP(Table2[[#This Row],[SNR]],Deelnemers[#Data],2,0),"")</calculatedColumnFormula>
    </tableColumn>
    <tableColumn id="2" xr3:uid="{00000000-0010-0000-0100-000002000000}" name="Plaats">
      <calculatedColumnFormula>IF(VLOOKUP(Table2[[#This Row],[SNR]],Deelnemers[#Data],8,0)&gt;0,"BM",IF(Table2[[#This Row],[Score]]="Disk",0,MATCH(Table2[[#This Row],[Sorteren]],Table2[Sorteren],0)-COUNTIF($B$7:$B7,"BM")))</calculatedColumnFormula>
    </tableColumn>
    <tableColumn id="3" xr3:uid="{00000000-0010-0000-0100-000003000000}" name="Punt"/>
    <tableColumn id="4" xr3:uid="{00000000-0010-0000-0100-000004000000}" name="Handler">
      <calculatedColumnFormula>IFERROR(VLOOKUP(Table2[[#This Row],[SNR]],Deelnemers[#Data],3,0),"")</calculatedColumnFormula>
    </tableColumn>
    <tableColumn id="5" xr3:uid="{00000000-0010-0000-0100-000005000000}" name="Hond">
      <calculatedColumnFormula>IFERROR(VLOOKUP(Table2[[#This Row],[SNR]],Deelnemers[#Data],4,0),"")</calculatedColumnFormula>
    </tableColumn>
    <tableColumn id="6" xr3:uid="{00000000-0010-0000-0100-000006000000}" name="Ras">
      <calculatedColumnFormula>IFERROR(VLOOKUP(Table2[[#This Row],[SNR]],Deelnemers[#Data],6,0),"")</calculatedColumnFormula>
    </tableColumn>
    <tableColumn id="7" xr3:uid="{00000000-0010-0000-0100-000007000000}" name="SNR" dataDxfId="210"/>
    <tableColumn id="8" xr3:uid="{00000000-0010-0000-0100-000008000000}" name="Tijd" dataDxfId="209"/>
    <tableColumn id="9" xr3:uid="{00000000-0010-0000-0100-000009000000}" name="W" dataDxfId="208"/>
    <tableColumn id="10" xr3:uid="{00000000-0010-0000-0100-00000A000000}" name="A" dataDxfId="207"/>
    <tableColumn id="11" xr3:uid="{00000000-0010-0000-0100-00000B000000}" name="F" dataDxfId="206"/>
    <tableColumn id="12" xr3:uid="{00000000-0010-0000-0100-00000C000000}" name="Disk" dataDxfId="205"/>
    <tableColumn id="13" xr3:uid="{00000000-0010-0000-0100-00000D000000}" name="Score">
      <calculatedColumnFormula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calculatedColumnFormula>
    </tableColumn>
    <tableColumn id="14" xr3:uid="{00000000-0010-0000-0100-00000E000000}" name="m/s">
      <calculatedColumnFormula>IFERROR(PRODUCT($F$4,1/Table2[[#This Row],[Tijd]]),0)</calculatedColumnFormula>
    </tableColumn>
    <tableColumn id="15" xr3:uid="{00000000-0010-0000-0100-00000F000000}" name="Fouten">
      <calculatedColumnFormula>SUM(Table2[[#This Row],[W]],Table2[[#This Row],[A]],Table2[[#This Row],[F]])*5</calculatedColumnFormula>
    </tableColumn>
    <tableColumn id="16" xr3:uid="{00000000-0010-0000-0100-000010000000}" name="Sorteren">
      <calculatedColumnFormula>TEXT(Table2[[#This Row],[Score]],"00,00")&amp;TEXT(Table2[[#This Row],[Fouten]],"00")&amp;TEXT(Table2[[#This Row],[Tijd]],"00,000")</calculatedColumnFormula>
    </tableColumn>
    <tableColumn id="17" xr3:uid="{00000000-0010-0000-0100-000011000000}" name="Waarschuwing">
      <calculatedColumnFormula>IF(IFERROR(VLOOKUP(Table2[[#This Row],[SNR]],Deelnemers[#Data],7,0),0)&lt;&gt;$C$4,"Loopt niet in deze groep!",IF(COUNTIF(Table2[SNR],Table2[[#This Row],[SNR]])&gt;1,"Dubbel",""))</calculatedColumnFormula>
    </tableColumn>
  </tableColumns>
  <tableStyleInfo name="TableStyleMedium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20" displayName="Table20" ref="A7:Q13" totalsRowShown="0">
  <autoFilter ref="A7:Q13" xr:uid="{00000000-0009-0000-0100-000014000000}"/>
  <sortState ref="A8:Q13">
    <sortCondition ref="P7:P13"/>
  </sortState>
  <tableColumns count="17">
    <tableColumn id="1" xr3:uid="{00000000-0010-0000-1300-000001000000}" name="Licentie">
      <calculatedColumnFormula>IFERROR(VLOOKUP(Table20[[#This Row],[SNR]],Deelnemers[#Data],2,0),"")</calculatedColumnFormula>
    </tableColumn>
    <tableColumn id="2" xr3:uid="{00000000-0010-0000-1300-000002000000}" name="Plaats">
      <calculatedColumnFormula>IF(VLOOKUP(Table20[[#This Row],[SNR]],Deelnemers[#Data],8,0)&gt;0,"BM",IF(Table20[[#This Row],[Score]]="Disk",0,MATCH(Table20[[#This Row],[Sorteren]],Table20[Sorteren],0)-COUNTIF($B$7:$B7,"BM")))</calculatedColumnFormula>
    </tableColumn>
    <tableColumn id="3" xr3:uid="{00000000-0010-0000-1300-000003000000}" name="Punt"/>
    <tableColumn id="4" xr3:uid="{00000000-0010-0000-1300-000004000000}" name="Handler">
      <calculatedColumnFormula>IFERROR(VLOOKUP(Table20[[#This Row],[SNR]],Deelnemers[#Data],3,0),"")</calculatedColumnFormula>
    </tableColumn>
    <tableColumn id="5" xr3:uid="{00000000-0010-0000-1300-000005000000}" name="Hond">
      <calculatedColumnFormula>IFERROR(VLOOKUP(Table20[[#This Row],[SNR]],Deelnemers[#Data],4,0),"")</calculatedColumnFormula>
    </tableColumn>
    <tableColumn id="6" xr3:uid="{00000000-0010-0000-1300-000006000000}" name="Ras">
      <calculatedColumnFormula>IFERROR(VLOOKUP(Table20[[#This Row],[SNR]],Deelnemers[#Data],6,0),"")</calculatedColumnFormula>
    </tableColumn>
    <tableColumn id="7" xr3:uid="{00000000-0010-0000-1300-000007000000}" name="SNR" dataDxfId="67"/>
    <tableColumn id="8" xr3:uid="{00000000-0010-0000-1300-000008000000}" name="Tijd" dataDxfId="66"/>
    <tableColumn id="9" xr3:uid="{00000000-0010-0000-1300-000009000000}" name="W" dataDxfId="65"/>
    <tableColumn id="10" xr3:uid="{00000000-0010-0000-1300-00000A000000}" name="A" dataDxfId="64"/>
    <tableColumn id="11" xr3:uid="{00000000-0010-0000-1300-00000B000000}" name="F" dataDxfId="63"/>
    <tableColumn id="12" xr3:uid="{00000000-0010-0000-1300-00000C000000}" name="Disk" dataDxfId="62"/>
    <tableColumn id="13" xr3:uid="{00000000-0010-0000-1300-00000D000000}" name="Score">
      <calculatedColumnFormula>IF(OR(ISNUMBER(SEARCH("Jumping", $C$5)),ISNUMBER(SEARCH("Vast Parcours", $C$5)), ISNUMBER(SEARCH("NKT", $C$5))),IF(OR(Table20[[#This Row],[Disk]]&gt;0,Table20[[#This Row],[W]]&gt;=3,Table20[[#This Row],[Tijd]]&gt;$F$3),"Disk",IF(ISBLANK(Table20[[#This Row],[Tijd]]),"",Table20[[#This Row],[Fouten]]+MAX(0,Table20[[#This Row],[Tijd]]-$F$2))),"-")</calculatedColumnFormula>
    </tableColumn>
    <tableColumn id="14" xr3:uid="{00000000-0010-0000-1300-00000E000000}" name="m/s">
      <calculatedColumnFormula>IFERROR(PRODUCT($F$4,1/Table20[[#This Row],[Tijd]]),0)</calculatedColumnFormula>
    </tableColumn>
    <tableColumn id="15" xr3:uid="{00000000-0010-0000-1300-00000F000000}" name="Fouten">
      <calculatedColumnFormula>SUM(Table20[[#This Row],[W]],Table20[[#This Row],[A]],Table20[[#This Row],[F]])*5</calculatedColumnFormula>
    </tableColumn>
    <tableColumn id="16" xr3:uid="{00000000-0010-0000-1300-000010000000}" name="Sorteren">
      <calculatedColumnFormula>TEXT(Table20[[#This Row],[Score]],"00,00")&amp;TEXT(Table20[[#This Row],[Fouten]],"00")&amp;TEXT(Table20[[#This Row],[Tijd]],"00,000")</calculatedColumnFormula>
    </tableColumn>
    <tableColumn id="17" xr3:uid="{00000000-0010-0000-1300-000011000000}" name="Waarschuwing">
      <calculatedColumnFormula>IF(IFERROR(VLOOKUP(Table20[[#This Row],[SNR]],Deelnemers[#Data],7,0),0)&lt;&gt;$C$4,"Loopt niet in deze groep!",IF(COUNTIF(Table20[SNR],Table20[[#This Row],[SNR]])&gt;1,"Dubbel",""))</calculatedColumnFormula>
    </tableColumn>
  </tableColumns>
  <tableStyleInfo name="TableStyleMedium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21" displayName="Table21" ref="A7:Q13" totalsRowShown="0">
  <autoFilter ref="A7:Q13" xr:uid="{00000000-0009-0000-0100-000015000000}"/>
  <sortState ref="A8:Q13">
    <sortCondition ref="P7:P13"/>
  </sortState>
  <tableColumns count="17">
    <tableColumn id="1" xr3:uid="{00000000-0010-0000-1400-000001000000}" name="Licentie">
      <calculatedColumnFormula>IFERROR(VLOOKUP(Table21[[#This Row],[SNR]],Deelnemers[#Data],2,0),"")</calculatedColumnFormula>
    </tableColumn>
    <tableColumn id="2" xr3:uid="{00000000-0010-0000-1400-000002000000}" name="Plaats">
      <calculatedColumnFormula>IF(VLOOKUP(Table21[[#This Row],[SNR]],Deelnemers[#Data],8,0)&gt;0,"BM",IF(Table21[[#This Row],[Score]]="Disk",0,MATCH(Table21[[#This Row],[Sorteren]],Table21[Sorteren],0)-COUNTIF($B$7:$B7,"BM")))</calculatedColumnFormula>
    </tableColumn>
    <tableColumn id="3" xr3:uid="{00000000-0010-0000-1400-000003000000}" name="Punt"/>
    <tableColumn id="4" xr3:uid="{00000000-0010-0000-1400-000004000000}" name="Handler">
      <calculatedColumnFormula>IFERROR(VLOOKUP(Table21[[#This Row],[SNR]],Deelnemers[#Data],3,0),"")</calculatedColumnFormula>
    </tableColumn>
    <tableColumn id="5" xr3:uid="{00000000-0010-0000-1400-000005000000}" name="Hond">
      <calculatedColumnFormula>IFERROR(VLOOKUP(Table21[[#This Row],[SNR]],Deelnemers[#Data],4,0),"")</calculatedColumnFormula>
    </tableColumn>
    <tableColumn id="6" xr3:uid="{00000000-0010-0000-1400-000006000000}" name="Ras">
      <calculatedColumnFormula>IFERROR(VLOOKUP(Table21[[#This Row],[SNR]],Deelnemers[#Data],6,0),"")</calculatedColumnFormula>
    </tableColumn>
    <tableColumn id="7" xr3:uid="{00000000-0010-0000-1400-000007000000}" name="SNR" dataDxfId="60"/>
    <tableColumn id="8" xr3:uid="{00000000-0010-0000-1400-000008000000}" name="Tijd" dataDxfId="59"/>
    <tableColumn id="9" xr3:uid="{00000000-0010-0000-1400-000009000000}" name="W" dataDxfId="58"/>
    <tableColumn id="10" xr3:uid="{00000000-0010-0000-1400-00000A000000}" name="A" dataDxfId="57"/>
    <tableColumn id="11" xr3:uid="{00000000-0010-0000-1400-00000B000000}" name="F" dataDxfId="56"/>
    <tableColumn id="12" xr3:uid="{00000000-0010-0000-1400-00000C000000}" name="Disk" dataDxfId="55"/>
    <tableColumn id="13" xr3:uid="{00000000-0010-0000-1400-00000D000000}" name="Score">
      <calculatedColumnFormula>IF(OR(ISNUMBER(SEARCH("Jumping", $C$5)),ISNUMBER(SEARCH("Vast Parcours", $C$5)), ISNUMBER(SEARCH("NKT", $C$5))),IF(OR(Table21[[#This Row],[Disk]]&gt;0,Table21[[#This Row],[W]]&gt;=3,Table21[[#This Row],[Tijd]]&gt;$F$3),"Disk",IF(ISBLANK(Table21[[#This Row],[Tijd]]),"",Table21[[#This Row],[Fouten]]+MAX(0,Table21[[#This Row],[Tijd]]-$F$2))),"-")</calculatedColumnFormula>
    </tableColumn>
    <tableColumn id="14" xr3:uid="{00000000-0010-0000-1400-00000E000000}" name="m/s">
      <calculatedColumnFormula>IFERROR(PRODUCT($F$4,1/Table21[[#This Row],[Tijd]]),0)</calculatedColumnFormula>
    </tableColumn>
    <tableColumn id="15" xr3:uid="{00000000-0010-0000-1400-00000F000000}" name="Fouten">
      <calculatedColumnFormula>SUM(Table21[[#This Row],[W]],Table21[[#This Row],[A]],Table21[[#This Row],[F]])*5</calculatedColumnFormula>
    </tableColumn>
    <tableColumn id="16" xr3:uid="{00000000-0010-0000-1400-000010000000}" name="Sorteren">
      <calculatedColumnFormula>TEXT(Table21[[#This Row],[Score]],"00,00")&amp;TEXT(Table21[[#This Row],[Fouten]],"00")&amp;TEXT(Table21[[#This Row],[Tijd]],"00,000")</calculatedColumnFormula>
    </tableColumn>
    <tableColumn id="17" xr3:uid="{00000000-0010-0000-1400-000011000000}" name="Waarschuwing">
      <calculatedColumnFormula>IF(IFERROR(VLOOKUP(Table21[[#This Row],[SNR]],Deelnemers[#Data],7,0),0)&lt;&gt;$C$4,"Loopt niet in deze groep!",IF(COUNTIF(Table21[SNR],Table21[[#This Row],[SNR]])&gt;1,"Dubbel",""))</calculatedColumnFormula>
    </tableColumn>
  </tableColumns>
  <tableStyleInfo name="TableStyleMedium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22" displayName="Table22" ref="A7:Q13" totalsRowShown="0">
  <autoFilter ref="A7:Q13" xr:uid="{00000000-0009-0000-0100-000016000000}"/>
  <sortState ref="A8:Q13">
    <sortCondition ref="P7:P13"/>
  </sortState>
  <tableColumns count="17">
    <tableColumn id="1" xr3:uid="{00000000-0010-0000-1500-000001000000}" name="Licentie">
      <calculatedColumnFormula>IFERROR(VLOOKUP(Table22[[#This Row],[SNR]],Deelnemers[#Data],2,0),"")</calculatedColumnFormula>
    </tableColumn>
    <tableColumn id="2" xr3:uid="{00000000-0010-0000-1500-000002000000}" name="Plaats">
      <calculatedColumnFormula>IF(VLOOKUP(Table22[[#This Row],[SNR]],Deelnemers[#Data],8,0)&gt;0,"BM",IF(Table22[[#This Row],[Score]]="Disk",0,MATCH(Table22[[#This Row],[Sorteren]],Table22[Sorteren],0)-COUNTIF($B$7:$B7,"BM")))</calculatedColumnFormula>
    </tableColumn>
    <tableColumn id="3" xr3:uid="{00000000-0010-0000-1500-000003000000}" name="Punt"/>
    <tableColumn id="4" xr3:uid="{00000000-0010-0000-1500-000004000000}" name="Handler">
      <calculatedColumnFormula>IFERROR(VLOOKUP(Table22[[#This Row],[SNR]],Deelnemers[#Data],3,0),"")</calculatedColumnFormula>
    </tableColumn>
    <tableColumn id="5" xr3:uid="{00000000-0010-0000-1500-000005000000}" name="Hond">
      <calculatedColumnFormula>IFERROR(VLOOKUP(Table22[[#This Row],[SNR]],Deelnemers[#Data],4,0),"")</calculatedColumnFormula>
    </tableColumn>
    <tableColumn id="6" xr3:uid="{00000000-0010-0000-1500-000006000000}" name="Ras">
      <calculatedColumnFormula>IFERROR(VLOOKUP(Table22[[#This Row],[SNR]],Deelnemers[#Data],6,0),"")</calculatedColumnFormula>
    </tableColumn>
    <tableColumn id="7" xr3:uid="{00000000-0010-0000-1500-000007000000}" name="SNR" dataDxfId="52"/>
    <tableColumn id="8" xr3:uid="{00000000-0010-0000-1500-000008000000}" name="Tijd" dataDxfId="51"/>
    <tableColumn id="9" xr3:uid="{00000000-0010-0000-1500-000009000000}" name="W" dataDxfId="50"/>
    <tableColumn id="10" xr3:uid="{00000000-0010-0000-1500-00000A000000}" name="A" dataDxfId="49"/>
    <tableColumn id="11" xr3:uid="{00000000-0010-0000-1500-00000B000000}" name="F" dataDxfId="48"/>
    <tableColumn id="12" xr3:uid="{00000000-0010-0000-1500-00000C000000}" name="Disk" dataDxfId="47"/>
    <tableColumn id="13" xr3:uid="{00000000-0010-0000-1500-00000D000000}" name="Score">
      <calculatedColumnFormula>IF(OR(ISNUMBER(SEARCH("Jumping", $C$5)),ISNUMBER(SEARCH("Vast Parcours", $C$5)), ISNUMBER(SEARCH("NKT", $C$5))),IF(OR(Table22[[#This Row],[Disk]]&gt;0,Table22[[#This Row],[W]]&gt;=3,Table22[[#This Row],[Tijd]]&gt;$F$3),"Disk",IF(ISBLANK(Table22[[#This Row],[Tijd]]),"",Table22[[#This Row],[Fouten]]+MAX(0,Table22[[#This Row],[Tijd]]-$F$2))),"-")</calculatedColumnFormula>
    </tableColumn>
    <tableColumn id="14" xr3:uid="{00000000-0010-0000-1500-00000E000000}" name="m/s">
      <calculatedColumnFormula>IFERROR(PRODUCT($F$4,1/Table22[[#This Row],[Tijd]]),0)</calculatedColumnFormula>
    </tableColumn>
    <tableColumn id="15" xr3:uid="{00000000-0010-0000-1500-00000F000000}" name="Fouten">
      <calculatedColumnFormula>SUM(Table22[[#This Row],[W]],Table22[[#This Row],[A]],Table22[[#This Row],[F]])*5</calculatedColumnFormula>
    </tableColumn>
    <tableColumn id="16" xr3:uid="{00000000-0010-0000-1500-000010000000}" name="Sorteren">
      <calculatedColumnFormula>TEXT(Table22[[#This Row],[Score]],"00,00")&amp;TEXT(Table22[[#This Row],[Fouten]],"00")&amp;TEXT(Table22[[#This Row],[Tijd]],"00,000")</calculatedColumnFormula>
    </tableColumn>
    <tableColumn id="17" xr3:uid="{00000000-0010-0000-1500-000011000000}" name="Waarschuwing">
      <calculatedColumnFormula>IF(IFERROR(VLOOKUP(Table22[[#This Row],[SNR]],Deelnemers[#Data],7,0),0)&lt;&gt;$C$4,"Loopt niet in deze groep!",IF(COUNTIF(Table22[SNR],Table22[[#This Row],[SNR]])&gt;1,"Dubbel",""))</calculatedColumnFormula>
    </tableColumn>
  </tableColumns>
  <tableStyleInfo name="TableStyleMedium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23" displayName="Table23" ref="A7:Q15" totalsRowShown="0">
  <autoFilter ref="A7:Q15" xr:uid="{00000000-0009-0000-0100-000017000000}"/>
  <sortState ref="A8:Q15">
    <sortCondition ref="P7:P15"/>
  </sortState>
  <tableColumns count="17">
    <tableColumn id="1" xr3:uid="{00000000-0010-0000-1600-000001000000}" name="Licentie">
      <calculatedColumnFormula>IFERROR(VLOOKUP(Table23[[#This Row],[SNR]],Deelnemers[#Data],2,0),"")</calculatedColumnFormula>
    </tableColumn>
    <tableColumn id="2" xr3:uid="{00000000-0010-0000-1600-000002000000}" name="Plaats">
      <calculatedColumnFormula>IF(VLOOKUP(Table23[[#This Row],[SNR]],Deelnemers[#Data],8,0)&gt;0,"BM",IF(Table23[[#This Row],[Score]]="Disk",0,MATCH(Table23[[#This Row],[Sorteren]],Table23[Sorteren],0)-COUNTIF($B$7:$B7,"BM")))</calculatedColumnFormula>
    </tableColumn>
    <tableColumn id="3" xr3:uid="{00000000-0010-0000-1600-000003000000}" name="Punt"/>
    <tableColumn id="4" xr3:uid="{00000000-0010-0000-1600-000004000000}" name="Handler">
      <calculatedColumnFormula>IFERROR(VLOOKUP(Table23[[#This Row],[SNR]],Deelnemers[#Data],3,0),"")</calculatedColumnFormula>
    </tableColumn>
    <tableColumn id="5" xr3:uid="{00000000-0010-0000-1600-000005000000}" name="Hond">
      <calculatedColumnFormula>IFERROR(VLOOKUP(Table23[[#This Row],[SNR]],Deelnemers[#Data],4,0),"")</calculatedColumnFormula>
    </tableColumn>
    <tableColumn id="6" xr3:uid="{00000000-0010-0000-1600-000006000000}" name="Ras">
      <calculatedColumnFormula>IFERROR(VLOOKUP(Table23[[#This Row],[SNR]],Deelnemers[#Data],6,0),"")</calculatedColumnFormula>
    </tableColumn>
    <tableColumn id="7" xr3:uid="{00000000-0010-0000-1600-000007000000}" name="SNR" dataDxfId="44"/>
    <tableColumn id="8" xr3:uid="{00000000-0010-0000-1600-000008000000}" name="Tijd" dataDxfId="43"/>
    <tableColumn id="9" xr3:uid="{00000000-0010-0000-1600-000009000000}" name="W" dataDxfId="42"/>
    <tableColumn id="10" xr3:uid="{00000000-0010-0000-1600-00000A000000}" name="A" dataDxfId="41"/>
    <tableColumn id="11" xr3:uid="{00000000-0010-0000-1600-00000B000000}" name="F" dataDxfId="40"/>
    <tableColumn id="12" xr3:uid="{00000000-0010-0000-1600-00000C000000}" name="Disk" dataDxfId="39"/>
    <tableColumn id="13" xr3:uid="{00000000-0010-0000-1600-00000D000000}" name="Score">
      <calculatedColumnFormula>IF(OR(ISNUMBER(SEARCH("Jumping", $C$5)),ISNUMBER(SEARCH("Vast Parcours", $C$5)), ISNUMBER(SEARCH("NKT", $C$5))),IF(OR(Table23[[#This Row],[Disk]]&gt;0,Table23[[#This Row],[W]]&gt;=3,Table23[[#This Row],[Tijd]]&gt;$F$3),"Disk",IF(ISBLANK(Table23[[#This Row],[Tijd]]),"",Table23[[#This Row],[Fouten]]+MAX(0,Table23[[#This Row],[Tijd]]-$F$2))),"-")</calculatedColumnFormula>
    </tableColumn>
    <tableColumn id="14" xr3:uid="{00000000-0010-0000-1600-00000E000000}" name="m/s">
      <calculatedColumnFormula>IFERROR(PRODUCT($F$4,1/Table23[[#This Row],[Tijd]]),0)</calculatedColumnFormula>
    </tableColumn>
    <tableColumn id="15" xr3:uid="{00000000-0010-0000-1600-00000F000000}" name="Fouten">
      <calculatedColumnFormula>SUM(Table23[[#This Row],[W]],Table23[[#This Row],[A]],Table23[[#This Row],[F]])*5</calculatedColumnFormula>
    </tableColumn>
    <tableColumn id="16" xr3:uid="{00000000-0010-0000-1600-000010000000}" name="Sorteren">
      <calculatedColumnFormula>TEXT(Table23[[#This Row],[Score]],"00,00")&amp;TEXT(Table23[[#This Row],[Fouten]],"00")&amp;TEXT(Table23[[#This Row],[Tijd]],"00,000")</calculatedColumnFormula>
    </tableColumn>
    <tableColumn id="17" xr3:uid="{00000000-0010-0000-1600-000011000000}" name="Waarschuwing">
      <calculatedColumnFormula>IF(IFERROR(VLOOKUP(Table23[[#This Row],[SNR]],Deelnemers[#Data],7,0),0)&lt;&gt;$C$4,"Loopt niet in deze groep!",IF(COUNTIF(Table23[SNR],Table23[[#This Row],[SNR]])&gt;1,"Dubbel",""))</calculatedColumnFormula>
    </tableColumn>
  </tableColumns>
  <tableStyleInfo name="TableStyleMedium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24" displayName="Table24" ref="A7:Q15" totalsRowShown="0">
  <autoFilter ref="A7:Q15" xr:uid="{00000000-0009-0000-0100-000018000000}"/>
  <sortState ref="A8:Q15">
    <sortCondition ref="P7:P15"/>
  </sortState>
  <tableColumns count="17">
    <tableColumn id="1" xr3:uid="{00000000-0010-0000-1700-000001000000}" name="Licentie">
      <calculatedColumnFormula>IFERROR(VLOOKUP(Table24[[#This Row],[SNR]],Deelnemers[#Data],2,0),"")</calculatedColumnFormula>
    </tableColumn>
    <tableColumn id="2" xr3:uid="{00000000-0010-0000-1700-000002000000}" name="Plaats">
      <calculatedColumnFormula>IF(VLOOKUP(Table24[[#This Row],[SNR]],Deelnemers[#Data],8,0)&gt;0,"BM",IF(Table24[[#This Row],[Score]]="Disk",0,MATCH(Table24[[#This Row],[Sorteren]],Table24[Sorteren],0)-COUNTIF($B$7:$B7,"BM")))</calculatedColumnFormula>
    </tableColumn>
    <tableColumn id="3" xr3:uid="{00000000-0010-0000-1700-000003000000}" name="Punt"/>
    <tableColumn id="4" xr3:uid="{00000000-0010-0000-1700-000004000000}" name="Handler">
      <calculatedColumnFormula>IFERROR(VLOOKUP(Table24[[#This Row],[SNR]],Deelnemers[#Data],3,0),"")</calculatedColumnFormula>
    </tableColumn>
    <tableColumn id="5" xr3:uid="{00000000-0010-0000-1700-000005000000}" name="Hond">
      <calculatedColumnFormula>IFERROR(VLOOKUP(Table24[[#This Row],[SNR]],Deelnemers[#Data],4,0),"")</calculatedColumnFormula>
    </tableColumn>
    <tableColumn id="6" xr3:uid="{00000000-0010-0000-1700-000006000000}" name="Ras">
      <calculatedColumnFormula>IFERROR(VLOOKUP(Table24[[#This Row],[SNR]],Deelnemers[#Data],6,0),"")</calculatedColumnFormula>
    </tableColumn>
    <tableColumn id="7" xr3:uid="{00000000-0010-0000-1700-000007000000}" name="SNR" dataDxfId="37"/>
    <tableColumn id="8" xr3:uid="{00000000-0010-0000-1700-000008000000}" name="Tijd" dataDxfId="36"/>
    <tableColumn id="9" xr3:uid="{00000000-0010-0000-1700-000009000000}" name="W" dataDxfId="35"/>
    <tableColumn id="10" xr3:uid="{00000000-0010-0000-1700-00000A000000}" name="A" dataDxfId="34"/>
    <tableColumn id="11" xr3:uid="{00000000-0010-0000-1700-00000B000000}" name="F" dataDxfId="33"/>
    <tableColumn id="12" xr3:uid="{00000000-0010-0000-1700-00000C000000}" name="Disk" dataDxfId="32"/>
    <tableColumn id="13" xr3:uid="{00000000-0010-0000-1700-00000D000000}" name="Score">
      <calculatedColumnFormula>IF(OR(ISNUMBER(SEARCH("Jumping", $C$5)),ISNUMBER(SEARCH("Vast Parcours", $C$5)), ISNUMBER(SEARCH("NKT", $C$5))),IF(OR(Table24[[#This Row],[Disk]]&gt;0,Table24[[#This Row],[W]]&gt;=3,Table24[[#This Row],[Tijd]]&gt;$F$3),"Disk",IF(ISBLANK(Table24[[#This Row],[Tijd]]),"",Table24[[#This Row],[Fouten]]+MAX(0,Table24[[#This Row],[Tijd]]-$F$2))),"-")</calculatedColumnFormula>
    </tableColumn>
    <tableColumn id="14" xr3:uid="{00000000-0010-0000-1700-00000E000000}" name="m/s">
      <calculatedColumnFormula>IFERROR(PRODUCT($F$4,1/Table24[[#This Row],[Tijd]]),0)</calculatedColumnFormula>
    </tableColumn>
    <tableColumn id="15" xr3:uid="{00000000-0010-0000-1700-00000F000000}" name="Fouten">
      <calculatedColumnFormula>SUM(Table24[[#This Row],[W]],Table24[[#This Row],[A]],Table24[[#This Row],[F]])*5</calculatedColumnFormula>
    </tableColumn>
    <tableColumn id="16" xr3:uid="{00000000-0010-0000-1700-000010000000}" name="Sorteren">
      <calculatedColumnFormula>TEXT(Table24[[#This Row],[Score]],"00,00")&amp;TEXT(Table24[[#This Row],[Fouten]],"00")&amp;TEXT(Table24[[#This Row],[Tijd]],"00,000")</calculatedColumnFormula>
    </tableColumn>
    <tableColumn id="17" xr3:uid="{00000000-0010-0000-1700-000011000000}" name="Waarschuwing">
      <calculatedColumnFormula>IF(IFERROR(VLOOKUP(Table24[[#This Row],[SNR]],Deelnemers[#Data],7,0),0)&lt;&gt;$C$4,"Loopt niet in deze groep!",IF(COUNTIF(Table24[SNR],Table24[[#This Row],[SNR]])&gt;1,"Dubbel",""))</calculatedColumnFormula>
    </tableColumn>
  </tableColumns>
  <tableStyleInfo name="TableStyleMedium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25" displayName="Table25" ref="A7:Q15" totalsRowShown="0">
  <autoFilter ref="A7:Q15" xr:uid="{00000000-0009-0000-0100-000019000000}"/>
  <sortState ref="A8:Q15">
    <sortCondition ref="P7:P15"/>
  </sortState>
  <tableColumns count="17">
    <tableColumn id="1" xr3:uid="{00000000-0010-0000-1800-000001000000}" name="Licentie">
      <calculatedColumnFormula>IFERROR(VLOOKUP(Table25[[#This Row],[SNR]],Deelnemers[#Data],2,0),"")</calculatedColumnFormula>
    </tableColumn>
    <tableColumn id="2" xr3:uid="{00000000-0010-0000-1800-000002000000}" name="Plaats">
      <calculatedColumnFormula>IF(VLOOKUP(Table25[[#This Row],[SNR]],Deelnemers[#Data],8,0)&gt;0,"BM",IF(Table25[[#This Row],[Score]]="Disk",0,MATCH(Table25[[#This Row],[Sorteren]],Table25[Sorteren],0)-COUNTIF($B$7:$B7,"BM")))</calculatedColumnFormula>
    </tableColumn>
    <tableColumn id="3" xr3:uid="{00000000-0010-0000-1800-000003000000}" name="Punt"/>
    <tableColumn id="4" xr3:uid="{00000000-0010-0000-1800-000004000000}" name="Handler">
      <calculatedColumnFormula>IFERROR(VLOOKUP(Table25[[#This Row],[SNR]],Deelnemers[#Data],3,0),"")</calculatedColumnFormula>
    </tableColumn>
    <tableColumn id="5" xr3:uid="{00000000-0010-0000-1800-000005000000}" name="Hond">
      <calculatedColumnFormula>IFERROR(VLOOKUP(Table25[[#This Row],[SNR]],Deelnemers[#Data],4,0),"")</calculatedColumnFormula>
    </tableColumn>
    <tableColumn id="6" xr3:uid="{00000000-0010-0000-1800-000006000000}" name="Ras">
      <calculatedColumnFormula>IFERROR(VLOOKUP(Table25[[#This Row],[SNR]],Deelnemers[#Data],6,0),"")</calculatedColumnFormula>
    </tableColumn>
    <tableColumn id="7" xr3:uid="{00000000-0010-0000-1800-000007000000}" name="SNR" dataDxfId="29"/>
    <tableColumn id="8" xr3:uid="{00000000-0010-0000-1800-000008000000}" name="Tijd" dataDxfId="28"/>
    <tableColumn id="9" xr3:uid="{00000000-0010-0000-1800-000009000000}" name="W" dataDxfId="27"/>
    <tableColumn id="10" xr3:uid="{00000000-0010-0000-1800-00000A000000}" name="A" dataDxfId="26"/>
    <tableColumn id="11" xr3:uid="{00000000-0010-0000-1800-00000B000000}" name="F" dataDxfId="25"/>
    <tableColumn id="12" xr3:uid="{00000000-0010-0000-1800-00000C000000}" name="Disk" dataDxfId="24"/>
    <tableColumn id="13" xr3:uid="{00000000-0010-0000-1800-00000D000000}" name="Score">
      <calculatedColumnFormula>IF(OR(ISNUMBER(SEARCH("Jumping", $C$5)),ISNUMBER(SEARCH("Vast Parcours", $C$5)), ISNUMBER(SEARCH("NKT", $C$5))),IF(OR(Table25[[#This Row],[Disk]]&gt;0,Table25[[#This Row],[W]]&gt;=3,Table25[[#This Row],[Tijd]]&gt;$F$3),"Disk",IF(ISBLANK(Table25[[#This Row],[Tijd]]),"",Table25[[#This Row],[Fouten]]+MAX(0,Table25[[#This Row],[Tijd]]-$F$2))),"-")</calculatedColumnFormula>
    </tableColumn>
    <tableColumn id="14" xr3:uid="{00000000-0010-0000-1800-00000E000000}" name="m/s">
      <calculatedColumnFormula>IFERROR(PRODUCT($F$4,1/Table25[[#This Row],[Tijd]]),0)</calculatedColumnFormula>
    </tableColumn>
    <tableColumn id="15" xr3:uid="{00000000-0010-0000-1800-00000F000000}" name="Fouten">
      <calculatedColumnFormula>SUM(Table25[[#This Row],[W]],Table25[[#This Row],[A]],Table25[[#This Row],[F]])*5</calculatedColumnFormula>
    </tableColumn>
    <tableColumn id="16" xr3:uid="{00000000-0010-0000-1800-000010000000}" name="Sorteren">
      <calculatedColumnFormula>TEXT(Table25[[#This Row],[Score]],"00,00")&amp;TEXT(Table25[[#This Row],[Fouten]],"00")&amp;TEXT(Table25[[#This Row],[Tijd]],"00,000")</calculatedColumnFormula>
    </tableColumn>
    <tableColumn id="17" xr3:uid="{00000000-0010-0000-1800-000011000000}" name="Waarschuwing">
      <calculatedColumnFormula>IF(IFERROR(VLOOKUP(Table25[[#This Row],[SNR]],Deelnemers[#Data],7,0),0)&lt;&gt;$C$4,"Loopt niet in deze groep!",IF(COUNTIF(Table25[SNR],Table25[[#This Row],[SNR]])&gt;1,"Dubbel",""))</calculatedColumnFormula>
    </tableColumn>
  </tableColumns>
  <tableStyleInfo name="TableStyleMedium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26" displayName="Table26" ref="A7:Q11" totalsRowShown="0">
  <autoFilter ref="A7:Q11" xr:uid="{00000000-0009-0000-0100-00001A000000}"/>
  <sortState ref="A8:Q11">
    <sortCondition ref="P7:P11"/>
  </sortState>
  <tableColumns count="17">
    <tableColumn id="1" xr3:uid="{00000000-0010-0000-1900-000001000000}" name="Licentie">
      <calculatedColumnFormula>IFERROR(VLOOKUP(Table26[[#This Row],[SNR]],Deelnemers[#Data],2,0),"")</calculatedColumnFormula>
    </tableColumn>
    <tableColumn id="2" xr3:uid="{00000000-0010-0000-1900-000002000000}" name="Plaats">
      <calculatedColumnFormula>IF(VLOOKUP(Table26[[#This Row],[SNR]],Deelnemers[#Data],8,0)&gt;0,"BM",IF(Table26[[#This Row],[Score]]="Disk",0,MATCH(Table26[[#This Row],[Sorteren]],Table26[Sorteren],0)-COUNTIF($B$7:$B7,"BM")))</calculatedColumnFormula>
    </tableColumn>
    <tableColumn id="3" xr3:uid="{00000000-0010-0000-1900-000003000000}" name="Punt"/>
    <tableColumn id="4" xr3:uid="{00000000-0010-0000-1900-000004000000}" name="Handler">
      <calculatedColumnFormula>IFERROR(VLOOKUP(Table26[[#This Row],[SNR]],Deelnemers[#Data],3,0),"")</calculatedColumnFormula>
    </tableColumn>
    <tableColumn id="5" xr3:uid="{00000000-0010-0000-1900-000005000000}" name="Hond">
      <calculatedColumnFormula>IFERROR(VLOOKUP(Table26[[#This Row],[SNR]],Deelnemers[#Data],4,0),"")</calculatedColumnFormula>
    </tableColumn>
    <tableColumn id="6" xr3:uid="{00000000-0010-0000-1900-000006000000}" name="Ras">
      <calculatedColumnFormula>IFERROR(VLOOKUP(Table26[[#This Row],[SNR]],Deelnemers[#Data],6,0),"")</calculatedColumnFormula>
    </tableColumn>
    <tableColumn id="7" xr3:uid="{00000000-0010-0000-1900-000007000000}" name="SNR" dataDxfId="21"/>
    <tableColumn id="8" xr3:uid="{00000000-0010-0000-1900-000008000000}" name="Tijd" dataDxfId="20"/>
    <tableColumn id="9" xr3:uid="{00000000-0010-0000-1900-000009000000}" name="W" dataDxfId="19"/>
    <tableColumn id="10" xr3:uid="{00000000-0010-0000-1900-00000A000000}" name="A" dataDxfId="18"/>
    <tableColumn id="11" xr3:uid="{00000000-0010-0000-1900-00000B000000}" name="F" dataDxfId="17"/>
    <tableColumn id="12" xr3:uid="{00000000-0010-0000-1900-00000C000000}" name="Disk" dataDxfId="16"/>
    <tableColumn id="13" xr3:uid="{00000000-0010-0000-1900-00000D000000}" name="Score">
      <calculatedColumnFormula>IF(OR(ISNUMBER(SEARCH("Jumping", $C$5)),ISNUMBER(SEARCH("Vast Parcours", $C$5)), ISNUMBER(SEARCH("NKT", $C$5))),IF(OR(Table26[[#This Row],[Disk]]&gt;0,Table26[[#This Row],[W]]&gt;=3,Table26[[#This Row],[Tijd]]&gt;$F$3),"Disk",IF(ISBLANK(Table26[[#This Row],[Tijd]]),"",Table26[[#This Row],[Fouten]]+MAX(0,Table26[[#This Row],[Tijd]]-$F$2))),"-")</calculatedColumnFormula>
    </tableColumn>
    <tableColumn id="14" xr3:uid="{00000000-0010-0000-1900-00000E000000}" name="m/s">
      <calculatedColumnFormula>IFERROR(PRODUCT($F$4,1/Table26[[#This Row],[Tijd]]),0)</calculatedColumnFormula>
    </tableColumn>
    <tableColumn id="15" xr3:uid="{00000000-0010-0000-1900-00000F000000}" name="Fouten">
      <calculatedColumnFormula>SUM(Table26[[#This Row],[W]],Table26[[#This Row],[A]],Table26[[#This Row],[F]])*5</calculatedColumnFormula>
    </tableColumn>
    <tableColumn id="16" xr3:uid="{00000000-0010-0000-1900-000010000000}" name="Sorteren">
      <calculatedColumnFormula>TEXT(Table26[[#This Row],[Score]],"00,00")&amp;TEXT(Table26[[#This Row],[Fouten]],"00")&amp;TEXT(Table26[[#This Row],[Tijd]],"00,000")</calculatedColumnFormula>
    </tableColumn>
    <tableColumn id="17" xr3:uid="{00000000-0010-0000-1900-000011000000}" name="Waarschuwing">
      <calculatedColumnFormula>IF(IFERROR(VLOOKUP(Table26[[#This Row],[SNR]],Deelnemers[#Data],7,0),0)&lt;&gt;$C$4,"Loopt niet in deze groep!",IF(COUNTIF(Table26[SNR],Table26[[#This Row],[SNR]])&gt;1,"Dubbel",""))</calculatedColumnFormula>
    </tableColumn>
  </tableColumns>
  <tableStyleInfo name="TableStyleMedium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27" displayName="Table27" ref="A7:Q11" totalsRowShown="0">
  <autoFilter ref="A7:Q11" xr:uid="{00000000-0009-0000-0100-00001B000000}"/>
  <tableColumns count="17">
    <tableColumn id="1" xr3:uid="{00000000-0010-0000-1A00-000001000000}" name="Licentie">
      <calculatedColumnFormula>IFERROR(VLOOKUP(Table27[[#This Row],[SNR]],Deelnemers[#Data],2,0),"")</calculatedColumnFormula>
    </tableColumn>
    <tableColumn id="2" xr3:uid="{00000000-0010-0000-1A00-000002000000}" name="Plaats">
      <calculatedColumnFormula>IF(VLOOKUP(Table27[[#This Row],[SNR]],Deelnemers[#Data],8,0)&gt;0,"BM",IF(Table27[[#This Row],[Score]]="Disk",0,MATCH(Table27[[#This Row],[Sorteren]],Table27[Sorteren],0)-COUNTIF($B$7:$B7,"BM")))</calculatedColumnFormula>
    </tableColumn>
    <tableColumn id="3" xr3:uid="{00000000-0010-0000-1A00-000003000000}" name="Punt"/>
    <tableColumn id="4" xr3:uid="{00000000-0010-0000-1A00-000004000000}" name="Handler">
      <calculatedColumnFormula>IFERROR(VLOOKUP(Table27[[#This Row],[SNR]],Deelnemers[#Data],3,0),"")</calculatedColumnFormula>
    </tableColumn>
    <tableColumn id="5" xr3:uid="{00000000-0010-0000-1A00-000005000000}" name="Hond">
      <calculatedColumnFormula>IFERROR(VLOOKUP(Table27[[#This Row],[SNR]],Deelnemers[#Data],4,0),"")</calculatedColumnFormula>
    </tableColumn>
    <tableColumn id="6" xr3:uid="{00000000-0010-0000-1A00-000006000000}" name="Ras">
      <calculatedColumnFormula>IFERROR(VLOOKUP(Table27[[#This Row],[SNR]],Deelnemers[#Data],6,0),"")</calculatedColumnFormula>
    </tableColumn>
    <tableColumn id="7" xr3:uid="{00000000-0010-0000-1A00-000007000000}" name="SNR" dataDxfId="14"/>
    <tableColumn id="8" xr3:uid="{00000000-0010-0000-1A00-000008000000}" name="Tijd" dataDxfId="13"/>
    <tableColumn id="9" xr3:uid="{00000000-0010-0000-1A00-000009000000}" name="W" dataDxfId="12"/>
    <tableColumn id="10" xr3:uid="{00000000-0010-0000-1A00-00000A000000}" name="A" dataDxfId="11"/>
    <tableColumn id="11" xr3:uid="{00000000-0010-0000-1A00-00000B000000}" name="F" dataDxfId="10"/>
    <tableColumn id="12" xr3:uid="{00000000-0010-0000-1A00-00000C000000}" name="Disk" dataDxfId="9"/>
    <tableColumn id="13" xr3:uid="{00000000-0010-0000-1A00-00000D000000}" name="Score">
      <calculatedColumnFormula>IF(OR(ISNUMBER(SEARCH("Jumping", $C$5)),ISNUMBER(SEARCH("Vast Parcours", $C$5)), ISNUMBER(SEARCH("NKT", $C$5))),IF(OR(Table27[[#This Row],[Disk]]&gt;0,Table27[[#This Row],[W]]&gt;=3,Table27[[#This Row],[Tijd]]&gt;$F$3),"Disk",IF(ISBLANK(Table27[[#This Row],[Tijd]]),"",Table27[[#This Row],[Fouten]]+MAX(0,Table27[[#This Row],[Tijd]]-$F$2))),"-")</calculatedColumnFormula>
    </tableColumn>
    <tableColumn id="14" xr3:uid="{00000000-0010-0000-1A00-00000E000000}" name="m/s">
      <calculatedColumnFormula>IFERROR(PRODUCT($F$4,1/Table27[[#This Row],[Tijd]]),0)</calculatedColumnFormula>
    </tableColumn>
    <tableColumn id="15" xr3:uid="{00000000-0010-0000-1A00-00000F000000}" name="Fouten">
      <calculatedColumnFormula>SUM(Table27[[#This Row],[W]],Table27[[#This Row],[A]],Table27[[#This Row],[F]])*5</calculatedColumnFormula>
    </tableColumn>
    <tableColumn id="16" xr3:uid="{00000000-0010-0000-1A00-000010000000}" name="Sorteren">
      <calculatedColumnFormula>TEXT(Table27[[#This Row],[Score]],"00,00")&amp;TEXT(Table27[[#This Row],[Fouten]],"00")&amp;TEXT(Table27[[#This Row],[Tijd]],"00,000")</calculatedColumnFormula>
    </tableColumn>
    <tableColumn id="17" xr3:uid="{00000000-0010-0000-1A00-000011000000}" name="Waarschuwing">
      <calculatedColumnFormula>IF(IFERROR(VLOOKUP(Table27[[#This Row],[SNR]],Deelnemers[#Data],7,0),0)&lt;&gt;$C$4,"Loopt niet in deze groep!",IF(COUNTIF(Table27[SNR],Table27[[#This Row],[SNR]])&gt;1,"Dubbel",""))</calculatedColumnFormula>
    </tableColumn>
  </tableColumns>
  <tableStyleInfo name="TableStyleMedium1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28" displayName="Table28" ref="A7:Q11" totalsRowShown="0">
  <autoFilter ref="A7:Q11" xr:uid="{00000000-0009-0000-0100-00001C000000}"/>
  <sortState ref="A8:Q11">
    <sortCondition ref="P7:P11"/>
  </sortState>
  <tableColumns count="17">
    <tableColumn id="1" xr3:uid="{00000000-0010-0000-1B00-000001000000}" name="Licentie">
      <calculatedColumnFormula>IFERROR(VLOOKUP(Table28[[#This Row],[SNR]],Deelnemers[#Data],2,0),"")</calculatedColumnFormula>
    </tableColumn>
    <tableColumn id="2" xr3:uid="{00000000-0010-0000-1B00-000002000000}" name="Plaats">
      <calculatedColumnFormula>IF(VLOOKUP(Table28[[#This Row],[SNR]],Deelnemers[#Data],8,0)&gt;0,"BM",IF(Table28[[#This Row],[Score]]="Disk",0,MATCH(Table28[[#This Row],[Sorteren]],Table28[Sorteren],0)-COUNTIF($B$7:$B7,"BM")))</calculatedColumnFormula>
    </tableColumn>
    <tableColumn id="3" xr3:uid="{00000000-0010-0000-1B00-000003000000}" name="Punt"/>
    <tableColumn id="4" xr3:uid="{00000000-0010-0000-1B00-000004000000}" name="Handler">
      <calculatedColumnFormula>IFERROR(VLOOKUP(Table28[[#This Row],[SNR]],Deelnemers[#Data],3,0),"")</calculatedColumnFormula>
    </tableColumn>
    <tableColumn id="5" xr3:uid="{00000000-0010-0000-1B00-000005000000}" name="Hond">
      <calculatedColumnFormula>IFERROR(VLOOKUP(Table28[[#This Row],[SNR]],Deelnemers[#Data],4,0),"")</calculatedColumnFormula>
    </tableColumn>
    <tableColumn id="6" xr3:uid="{00000000-0010-0000-1B00-000006000000}" name="Ras">
      <calculatedColumnFormula>IFERROR(VLOOKUP(Table28[[#This Row],[SNR]],Deelnemers[#Data],6,0),"")</calculatedColumnFormula>
    </tableColumn>
    <tableColumn id="7" xr3:uid="{00000000-0010-0000-1B00-000007000000}" name="SNR" dataDxfId="7"/>
    <tableColumn id="8" xr3:uid="{00000000-0010-0000-1B00-000008000000}" name="Tijd" dataDxfId="6"/>
    <tableColumn id="9" xr3:uid="{00000000-0010-0000-1B00-000009000000}" name="W" dataDxfId="5"/>
    <tableColumn id="10" xr3:uid="{00000000-0010-0000-1B00-00000A000000}" name="A" dataDxfId="4"/>
    <tableColumn id="11" xr3:uid="{00000000-0010-0000-1B00-00000B000000}" name="F" dataDxfId="3"/>
    <tableColumn id="12" xr3:uid="{00000000-0010-0000-1B00-00000C000000}" name="Disk" dataDxfId="2"/>
    <tableColumn id="13" xr3:uid="{00000000-0010-0000-1B00-00000D000000}" name="Score">
      <calculatedColumnFormula>IF(OR(ISNUMBER(SEARCH("Jumping", $C$5)),ISNUMBER(SEARCH("Vast Parcours", $C$5)), ISNUMBER(SEARCH("NKT", $C$5))),IF(OR(Table28[[#This Row],[Disk]]&gt;0,Table28[[#This Row],[W]]&gt;=3,Table28[[#This Row],[Tijd]]&gt;$F$3),"Disk",IF(ISBLANK(Table28[[#This Row],[Tijd]]),"",Table28[[#This Row],[Fouten]]+MAX(0,Table28[[#This Row],[Tijd]]-$F$2))),"-")</calculatedColumnFormula>
    </tableColumn>
    <tableColumn id="14" xr3:uid="{00000000-0010-0000-1B00-00000E000000}" name="m/s">
      <calculatedColumnFormula>IFERROR(PRODUCT($F$4,1/Table28[[#This Row],[Tijd]]),0)</calculatedColumnFormula>
    </tableColumn>
    <tableColumn id="15" xr3:uid="{00000000-0010-0000-1B00-00000F000000}" name="Fouten">
      <calculatedColumnFormula>SUM(Table28[[#This Row],[W]],Table28[[#This Row],[A]],Table28[[#This Row],[F]])*5</calculatedColumnFormula>
    </tableColumn>
    <tableColumn id="16" xr3:uid="{00000000-0010-0000-1B00-000010000000}" name="Sorteren">
      <calculatedColumnFormula>TEXT(Table28[[#This Row],[Score]],"00,00")&amp;TEXT(Table28[[#This Row],[Fouten]],"00")&amp;TEXT(Table28[[#This Row],[Tijd]],"00,000")</calculatedColumnFormula>
    </tableColumn>
    <tableColumn id="17" xr3:uid="{00000000-0010-0000-1B00-000011000000}" name="Waarschuwing">
      <calculatedColumnFormula>IF(IFERROR(VLOOKUP(Table28[[#This Row],[SNR]],Deelnemers[#Data],7,0),0)&lt;&gt;$C$4,"Loopt niet in deze groep!",IF(COUNTIF(Table28[SNR],Table28[[#This Row],[SNR]])&gt;1,"Dubbel",""))</calculatedColumnFormula>
    </tableColumn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7:Q36" totalsRowShown="0">
  <autoFilter ref="A7:Q36" xr:uid="{00000000-0009-0000-0100-000003000000}"/>
  <sortState ref="A8:Q36">
    <sortCondition ref="P7:P36"/>
  </sortState>
  <tableColumns count="17">
    <tableColumn id="1" xr3:uid="{00000000-0010-0000-0200-000001000000}" name="Licentie">
      <calculatedColumnFormula>IFERROR(VLOOKUP(Table3[[#This Row],[SNR]],Deelnemers[#Data],2,0),"")</calculatedColumnFormula>
    </tableColumn>
    <tableColumn id="2" xr3:uid="{00000000-0010-0000-0200-000002000000}" name="Plaats">
      <calculatedColumnFormula>IF(VLOOKUP(Table3[[#This Row],[SNR]],Deelnemers[#Data],8,0)&gt;0,"BM",IF(Table3[[#This Row],[Score]]="Disk",0,MATCH(Table3[[#This Row],[Sorteren]],Table3[Sorteren],0)-COUNTIF($B$7:$B7,"BM")))</calculatedColumnFormula>
    </tableColumn>
    <tableColumn id="3" xr3:uid="{00000000-0010-0000-0200-000003000000}" name="Punt"/>
    <tableColumn id="4" xr3:uid="{00000000-0010-0000-0200-000004000000}" name="Handler">
      <calculatedColumnFormula>IFERROR(VLOOKUP(Table3[[#This Row],[SNR]],Deelnemers[#Data],3,0),"")</calculatedColumnFormula>
    </tableColumn>
    <tableColumn id="5" xr3:uid="{00000000-0010-0000-0200-000005000000}" name="Hond">
      <calculatedColumnFormula>IFERROR(VLOOKUP(Table3[[#This Row],[SNR]],Deelnemers[#Data],4,0),"")</calculatedColumnFormula>
    </tableColumn>
    <tableColumn id="6" xr3:uid="{00000000-0010-0000-0200-000006000000}" name="Ras">
      <calculatedColumnFormula>IFERROR(VLOOKUP(Table3[[#This Row],[SNR]],Deelnemers[#Data],6,0),"")</calculatedColumnFormula>
    </tableColumn>
    <tableColumn id="7" xr3:uid="{00000000-0010-0000-0200-000007000000}" name="SNR" dataDxfId="203"/>
    <tableColumn id="8" xr3:uid="{00000000-0010-0000-0200-000008000000}" name="Tijd" dataDxfId="202"/>
    <tableColumn id="9" xr3:uid="{00000000-0010-0000-0200-000009000000}" name="W" dataDxfId="201"/>
    <tableColumn id="10" xr3:uid="{00000000-0010-0000-0200-00000A000000}" name="A" dataDxfId="200"/>
    <tableColumn id="11" xr3:uid="{00000000-0010-0000-0200-00000B000000}" name="F" dataDxfId="199"/>
    <tableColumn id="12" xr3:uid="{00000000-0010-0000-0200-00000C000000}" name="Disk" dataDxfId="198"/>
    <tableColumn id="13" xr3:uid="{00000000-0010-0000-0200-00000D000000}" name="Score">
      <calculatedColumnFormula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calculatedColumnFormula>
    </tableColumn>
    <tableColumn id="14" xr3:uid="{00000000-0010-0000-0200-00000E000000}" name="m/s">
      <calculatedColumnFormula>IFERROR(PRODUCT($F$4,1/Table3[[#This Row],[Tijd]]),0)</calculatedColumnFormula>
    </tableColumn>
    <tableColumn id="15" xr3:uid="{00000000-0010-0000-0200-00000F000000}" name="Fouten">
      <calculatedColumnFormula>SUM(Table3[[#This Row],[W]],Table3[[#This Row],[A]],Table3[[#This Row],[F]])*5</calculatedColumnFormula>
    </tableColumn>
    <tableColumn id="16" xr3:uid="{00000000-0010-0000-0200-000010000000}" name="Sorteren">
      <calculatedColumnFormula>TEXT(Table3[[#This Row],[Score]],"00,00")&amp;TEXT(Table3[[#This Row],[Fouten]],"00")&amp;TEXT(Table3[[#This Row],[Tijd]],"00,000")</calculatedColumnFormula>
    </tableColumn>
    <tableColumn id="17" xr3:uid="{00000000-0010-0000-0200-000011000000}" name="Waarschuwing">
      <calculatedColumnFormula>IF(IFERROR(VLOOKUP(Table3[[#This Row],[SNR]],Deelnemers[#Data],7,0),0)&lt;&gt;$C$4,"Loopt niet in deze groep!",IF(COUNTIF(Table3[SNR],Table3[[#This Row],[SNR]])&gt;1,"Dubbel",""))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7:Q36" totalsRowShown="0">
  <autoFilter ref="A7:Q36" xr:uid="{00000000-0009-0000-0100-000004000000}"/>
  <sortState ref="A8:Q36">
    <sortCondition ref="P7:P36"/>
  </sortState>
  <tableColumns count="17">
    <tableColumn id="1" xr3:uid="{00000000-0010-0000-0300-000001000000}" name="Licentie">
      <calculatedColumnFormula>IFERROR(VLOOKUP(Table4[[#This Row],[SNR]],Deelnemers[#Data],2,0),"")</calculatedColumnFormula>
    </tableColumn>
    <tableColumn id="2" xr3:uid="{00000000-0010-0000-0300-000002000000}" name="Plaats">
      <calculatedColumnFormula>IF(VLOOKUP(Table4[[#This Row],[SNR]],Deelnemers[#Data],8,0)&gt;0,"BM",IF(Table4[[#This Row],[Score]]="Disk",0,MATCH(Table4[[#This Row],[Sorteren]],Table4[Sorteren],0)-COUNTIF($B$7:$B7,"BM")))</calculatedColumnFormula>
    </tableColumn>
    <tableColumn id="3" xr3:uid="{00000000-0010-0000-0300-000003000000}" name="Punt"/>
    <tableColumn id="4" xr3:uid="{00000000-0010-0000-0300-000004000000}" name="Handler">
      <calculatedColumnFormula>IFERROR(VLOOKUP(Table4[[#This Row],[SNR]],Deelnemers[#Data],3,0),"")</calculatedColumnFormula>
    </tableColumn>
    <tableColumn id="5" xr3:uid="{00000000-0010-0000-0300-000005000000}" name="Hond">
      <calculatedColumnFormula>IFERROR(VLOOKUP(Table4[[#This Row],[SNR]],Deelnemers[#Data],4,0),"")</calculatedColumnFormula>
    </tableColumn>
    <tableColumn id="6" xr3:uid="{00000000-0010-0000-0300-000006000000}" name="Ras">
      <calculatedColumnFormula>IFERROR(VLOOKUP(Table4[[#This Row],[SNR]],Deelnemers[#Data],6,0),"")</calculatedColumnFormula>
    </tableColumn>
    <tableColumn id="7" xr3:uid="{00000000-0010-0000-0300-000007000000}" name="SNR" dataDxfId="195"/>
    <tableColumn id="8" xr3:uid="{00000000-0010-0000-0300-000008000000}" name="Tijd" dataDxfId="194"/>
    <tableColumn id="9" xr3:uid="{00000000-0010-0000-0300-000009000000}" name="W" dataDxfId="193"/>
    <tableColumn id="10" xr3:uid="{00000000-0010-0000-0300-00000A000000}" name="A" dataDxfId="192"/>
    <tableColumn id="11" xr3:uid="{00000000-0010-0000-0300-00000B000000}" name="F" dataDxfId="191"/>
    <tableColumn id="12" xr3:uid="{00000000-0010-0000-0300-00000C000000}" name="Disk" dataDxfId="190"/>
    <tableColumn id="13" xr3:uid="{00000000-0010-0000-0300-00000D000000}" name="Score">
      <calculatedColumnFormula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calculatedColumnFormula>
    </tableColumn>
    <tableColumn id="14" xr3:uid="{00000000-0010-0000-0300-00000E000000}" name="m/s">
      <calculatedColumnFormula>IFERROR(PRODUCT($F$4,1/Table4[[#This Row],[Tijd]]),0)</calculatedColumnFormula>
    </tableColumn>
    <tableColumn id="15" xr3:uid="{00000000-0010-0000-0300-00000F000000}" name="Fouten">
      <calculatedColumnFormula>SUM(Table4[[#This Row],[W]],Table4[[#This Row],[A]],Table4[[#This Row],[F]])*5</calculatedColumnFormula>
    </tableColumn>
    <tableColumn id="16" xr3:uid="{00000000-0010-0000-0300-000010000000}" name="Sorteren">
      <calculatedColumnFormula>TEXT(Table4[[#This Row],[Score]],"00,00")&amp;TEXT(Table4[[#This Row],[Fouten]],"00")&amp;TEXT(Table4[[#This Row],[Tijd]],"00,000")</calculatedColumnFormula>
    </tableColumn>
    <tableColumn id="17" xr3:uid="{00000000-0010-0000-0300-000011000000}" name="Waarschuwing">
      <calculatedColumnFormula>IF(IFERROR(VLOOKUP(Table4[[#This Row],[SNR]],Deelnemers[#Data],7,0),0)&lt;&gt;$C$4,"Loopt niet in deze groep!",IF(COUNTIF(Table4[SNR],Table4[[#This Row],[SNR]])&gt;1,"Dubbel",""))</calculatedColumnFormula>
    </tableColumn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7:Q14" totalsRowShown="0">
  <autoFilter ref="A7:Q14" xr:uid="{00000000-0009-0000-0100-000005000000}"/>
  <sortState ref="A8:Q14">
    <sortCondition ref="P7:P14"/>
  </sortState>
  <tableColumns count="17">
    <tableColumn id="1" xr3:uid="{00000000-0010-0000-0400-000001000000}" name="Licentie">
      <calculatedColumnFormula>IFERROR(VLOOKUP(Table5[[#This Row],[SNR]],Deelnemers[#Data],2,0),"")</calculatedColumnFormula>
    </tableColumn>
    <tableColumn id="2" xr3:uid="{00000000-0010-0000-0400-000002000000}" name="Plaats">
      <calculatedColumnFormula>IF(VLOOKUP(Table5[[#This Row],[SNR]],Deelnemers[#Data],8,0)&gt;0,"BM",IF(Table5[[#This Row],[Score]]="Disk",0,MATCH(Table5[[#This Row],[Sorteren]],Table5[Sorteren],0)-COUNTIF($B$7:$B7,"BM")))</calculatedColumnFormula>
    </tableColumn>
    <tableColumn id="3" xr3:uid="{00000000-0010-0000-0400-000003000000}" name="Punt"/>
    <tableColumn id="4" xr3:uid="{00000000-0010-0000-0400-000004000000}" name="Handler">
      <calculatedColumnFormula>IFERROR(VLOOKUP(Table5[[#This Row],[SNR]],Deelnemers[#Data],3,0),"")</calculatedColumnFormula>
    </tableColumn>
    <tableColumn id="5" xr3:uid="{00000000-0010-0000-0400-000005000000}" name="Hond">
      <calculatedColumnFormula>IFERROR(VLOOKUP(Table5[[#This Row],[SNR]],Deelnemers[#Data],4,0),"")</calculatedColumnFormula>
    </tableColumn>
    <tableColumn id="6" xr3:uid="{00000000-0010-0000-0400-000006000000}" name="Ras">
      <calculatedColumnFormula>IFERROR(VLOOKUP(Table5[[#This Row],[SNR]],Deelnemers[#Data],6,0),"")</calculatedColumnFormula>
    </tableColumn>
    <tableColumn id="7" xr3:uid="{00000000-0010-0000-0400-000007000000}" name="SNR" dataDxfId="187"/>
    <tableColumn id="8" xr3:uid="{00000000-0010-0000-0400-000008000000}" name="Tijd" dataDxfId="186"/>
    <tableColumn id="9" xr3:uid="{00000000-0010-0000-0400-000009000000}" name="W" dataDxfId="185"/>
    <tableColumn id="10" xr3:uid="{00000000-0010-0000-0400-00000A000000}" name="A" dataDxfId="184"/>
    <tableColumn id="11" xr3:uid="{00000000-0010-0000-0400-00000B000000}" name="F" dataDxfId="183"/>
    <tableColumn id="12" xr3:uid="{00000000-0010-0000-0400-00000C000000}" name="Disk" dataDxfId="182"/>
    <tableColumn id="13" xr3:uid="{00000000-0010-0000-0400-00000D000000}" name="Score">
      <calculatedColumnFormula>IF(OR(ISNUMBER(SEARCH("Jumping", $C$5)),ISNUMBER(SEARCH("Vast Parcours", $C$5)), ISNUMBER(SEARCH("NKT", $C$5))),IF(OR(Table5[[#This Row],[Disk]]&gt;0,Table5[[#This Row],[W]]&gt;=3,Table5[[#This Row],[Tijd]]&gt;$F$3),"Disk",IF(ISBLANK(Table5[[#This Row],[Tijd]]),"",Table5[[#This Row],[Fouten]]+MAX(0,Table5[[#This Row],[Tijd]]-$F$2))),"-")</calculatedColumnFormula>
    </tableColumn>
    <tableColumn id="14" xr3:uid="{00000000-0010-0000-0400-00000E000000}" name="m/s">
      <calculatedColumnFormula>IFERROR(PRODUCT($F$4,1/Table5[[#This Row],[Tijd]]),0)</calculatedColumnFormula>
    </tableColumn>
    <tableColumn id="15" xr3:uid="{00000000-0010-0000-0400-00000F000000}" name="Fouten">
      <calculatedColumnFormula>SUM(Table5[[#This Row],[W]],Table5[[#This Row],[A]],Table5[[#This Row],[F]])*5</calculatedColumnFormula>
    </tableColumn>
    <tableColumn id="16" xr3:uid="{00000000-0010-0000-0400-000010000000}" name="Sorteren">
      <calculatedColumnFormula>TEXT(Table5[[#This Row],[Score]],"00,00")&amp;TEXT(Table5[[#This Row],[Fouten]],"00")&amp;TEXT(Table5[[#This Row],[Tijd]],"00,000")</calculatedColumnFormula>
    </tableColumn>
    <tableColumn id="17" xr3:uid="{00000000-0010-0000-0400-000011000000}" name="Waarschuwing">
      <calculatedColumnFormula>IF(IFERROR(VLOOKUP(Table5[[#This Row],[SNR]],Deelnemers[#Data],7,0),0)&lt;&gt;$C$4,"Loopt niet in deze groep!",IF(COUNTIF(Table5[SNR],Table5[[#This Row],[SNR]])&gt;1,"Dubbel",""))</calculatedColumnFormula>
    </tableColumn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7:Q14" totalsRowShown="0">
  <autoFilter ref="A7:Q14" xr:uid="{00000000-0009-0000-0100-000006000000}"/>
  <sortState ref="A8:Q14">
    <sortCondition ref="P7:P14"/>
  </sortState>
  <tableColumns count="17">
    <tableColumn id="1" xr3:uid="{00000000-0010-0000-0500-000001000000}" name="Licentie">
      <calculatedColumnFormula>IFERROR(VLOOKUP(Table6[[#This Row],[SNR]],Deelnemers[#Data],2,0),"")</calculatedColumnFormula>
    </tableColumn>
    <tableColumn id="2" xr3:uid="{00000000-0010-0000-0500-000002000000}" name="Plaats">
      <calculatedColumnFormula>IF(VLOOKUP(Table6[[#This Row],[SNR]],Deelnemers[#Data],8,0)&gt;0,"BM",IF(Table6[[#This Row],[Score]]="Disk",0,MATCH(Table6[[#This Row],[Sorteren]],Table6[Sorteren],0)-COUNTIF($B$7:$B7,"BM")))</calculatedColumnFormula>
    </tableColumn>
    <tableColumn id="3" xr3:uid="{00000000-0010-0000-0500-000003000000}" name="Punt"/>
    <tableColumn id="4" xr3:uid="{00000000-0010-0000-0500-000004000000}" name="Handler">
      <calculatedColumnFormula>IFERROR(VLOOKUP(Table6[[#This Row],[SNR]],Deelnemers[#Data],3,0),"")</calculatedColumnFormula>
    </tableColumn>
    <tableColumn id="5" xr3:uid="{00000000-0010-0000-0500-000005000000}" name="Hond">
      <calculatedColumnFormula>IFERROR(VLOOKUP(Table6[[#This Row],[SNR]],Deelnemers[#Data],4,0),"")</calculatedColumnFormula>
    </tableColumn>
    <tableColumn id="6" xr3:uid="{00000000-0010-0000-0500-000006000000}" name="Ras">
      <calculatedColumnFormula>IFERROR(VLOOKUP(Table6[[#This Row],[SNR]],Deelnemers[#Data],6,0),"")</calculatedColumnFormula>
    </tableColumn>
    <tableColumn id="7" xr3:uid="{00000000-0010-0000-0500-000007000000}" name="SNR" dataDxfId="179"/>
    <tableColumn id="8" xr3:uid="{00000000-0010-0000-0500-000008000000}" name="Tijd" dataDxfId="178"/>
    <tableColumn id="9" xr3:uid="{00000000-0010-0000-0500-000009000000}" name="W" dataDxfId="177"/>
    <tableColumn id="10" xr3:uid="{00000000-0010-0000-0500-00000A000000}" name="A" dataDxfId="176"/>
    <tableColumn id="11" xr3:uid="{00000000-0010-0000-0500-00000B000000}" name="F" dataDxfId="175"/>
    <tableColumn id="12" xr3:uid="{00000000-0010-0000-0500-00000C000000}" name="Disk" dataDxfId="174"/>
    <tableColumn id="13" xr3:uid="{00000000-0010-0000-0500-00000D000000}" name="Score">
      <calculatedColumnFormula>IF(OR(ISNUMBER(SEARCH("Jumping", $C$5)),ISNUMBER(SEARCH("Vast Parcours", $C$5)), ISNUMBER(SEARCH("NKT", $C$5))),IF(OR(Table6[[#This Row],[Disk]]&gt;0,Table6[[#This Row],[W]]&gt;=3,Table6[[#This Row],[Tijd]]&gt;$F$3),"Disk",IF(ISBLANK(Table6[[#This Row],[Tijd]]),"",Table6[[#This Row],[Fouten]]+MAX(0,Table6[[#This Row],[Tijd]]-$F$2))),"-")</calculatedColumnFormula>
    </tableColumn>
    <tableColumn id="14" xr3:uid="{00000000-0010-0000-0500-00000E000000}" name="m/s">
      <calculatedColumnFormula>IFERROR(PRODUCT($F$4,1/Table6[[#This Row],[Tijd]]),0)</calculatedColumnFormula>
    </tableColumn>
    <tableColumn id="15" xr3:uid="{00000000-0010-0000-0500-00000F000000}" name="Fouten">
      <calculatedColumnFormula>SUM(Table6[[#This Row],[W]],Table6[[#This Row],[A]],Table6[[#This Row],[F]])*5</calculatedColumnFormula>
    </tableColumn>
    <tableColumn id="16" xr3:uid="{00000000-0010-0000-0500-000010000000}" name="Sorteren">
      <calculatedColumnFormula>TEXT(Table6[[#This Row],[Score]],"00,00")&amp;TEXT(Table6[[#This Row],[Fouten]],"00")&amp;TEXT(Table6[[#This Row],[Tijd]],"00,000")</calculatedColumnFormula>
    </tableColumn>
    <tableColumn id="17" xr3:uid="{00000000-0010-0000-0500-000011000000}" name="Waarschuwing">
      <calculatedColumnFormula>IF(IFERROR(VLOOKUP(Table6[[#This Row],[SNR]],Deelnemers[#Data],7,0),0)&lt;&gt;$C$4,"Loopt niet in deze groep!",IF(COUNTIF(Table6[SNR],Table6[[#This Row],[SNR]])&gt;1,"Dubbel",""))</calculatedColumnFormula>
    </tableColumn>
  </tableColumns>
  <tableStyleInfo name="TableStyleMedium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7:Q13" totalsRowShown="0">
  <autoFilter ref="A7:Q13" xr:uid="{00000000-0009-0000-0100-000007000000}"/>
  <sortState ref="A8:Q13">
    <sortCondition ref="P7:P13"/>
  </sortState>
  <tableColumns count="17">
    <tableColumn id="1" xr3:uid="{00000000-0010-0000-0600-000001000000}" name="Licentie">
      <calculatedColumnFormula>IFERROR(VLOOKUP(Table7[[#This Row],[SNR]],Deelnemers[#Data],2,0),"")</calculatedColumnFormula>
    </tableColumn>
    <tableColumn id="2" xr3:uid="{00000000-0010-0000-0600-000002000000}" name="Plaats">
      <calculatedColumnFormula>IF(VLOOKUP(Table7[[#This Row],[SNR]],Deelnemers[#Data],8,0)&gt;0,"BM",IF(Table7[[#This Row],[Score]]="Disk",0,MATCH(Table7[[#This Row],[Sorteren]],Table7[Sorteren],0)-COUNTIF($B$7:$B7,"BM")))</calculatedColumnFormula>
    </tableColumn>
    <tableColumn id="3" xr3:uid="{00000000-0010-0000-0600-000003000000}" name="Punt"/>
    <tableColumn id="4" xr3:uid="{00000000-0010-0000-0600-000004000000}" name="Handler">
      <calculatedColumnFormula>IFERROR(VLOOKUP(Table7[[#This Row],[SNR]],Deelnemers[#Data],3,0),"")</calculatedColumnFormula>
    </tableColumn>
    <tableColumn id="5" xr3:uid="{00000000-0010-0000-0600-000005000000}" name="Hond">
      <calculatedColumnFormula>IFERROR(VLOOKUP(Table7[[#This Row],[SNR]],Deelnemers[#Data],4,0),"")</calculatedColumnFormula>
    </tableColumn>
    <tableColumn id="6" xr3:uid="{00000000-0010-0000-0600-000006000000}" name="Ras">
      <calculatedColumnFormula>IFERROR(VLOOKUP(Table7[[#This Row],[SNR]],Deelnemers[#Data],6,0),"")</calculatedColumnFormula>
    </tableColumn>
    <tableColumn id="7" xr3:uid="{00000000-0010-0000-0600-000007000000}" name="SNR" dataDxfId="171"/>
    <tableColumn id="8" xr3:uid="{00000000-0010-0000-0600-000008000000}" name="Tijd" dataDxfId="170"/>
    <tableColumn id="9" xr3:uid="{00000000-0010-0000-0600-000009000000}" name="W" dataDxfId="169"/>
    <tableColumn id="10" xr3:uid="{00000000-0010-0000-0600-00000A000000}" name="A" dataDxfId="168"/>
    <tableColumn id="11" xr3:uid="{00000000-0010-0000-0600-00000B000000}" name="F" dataDxfId="167"/>
    <tableColumn id="12" xr3:uid="{00000000-0010-0000-0600-00000C000000}" name="Disk" dataDxfId="166"/>
    <tableColumn id="13" xr3:uid="{00000000-0010-0000-0600-00000D000000}" name="Score">
      <calculatedColumnFormula>IF(OR(ISNUMBER(SEARCH("Jumping", $C$5)),ISNUMBER(SEARCH("Vast Parcours", $C$5)), ISNUMBER(SEARCH("NKT", $C$5))),IF(OR(Table7[[#This Row],[Disk]]&gt;0,Table7[[#This Row],[W]]&gt;=3,Table7[[#This Row],[Tijd]]&gt;$F$3),"Disk",IF(ISBLANK(Table7[[#This Row],[Tijd]]),"",Table7[[#This Row],[Fouten]]+MAX(0,Table7[[#This Row],[Tijd]]-$F$2))),"-")</calculatedColumnFormula>
    </tableColumn>
    <tableColumn id="14" xr3:uid="{00000000-0010-0000-0600-00000E000000}" name="m/s">
      <calculatedColumnFormula>IFERROR(PRODUCT($F$4,1/Table7[[#This Row],[Tijd]]),0)</calculatedColumnFormula>
    </tableColumn>
    <tableColumn id="15" xr3:uid="{00000000-0010-0000-0600-00000F000000}" name="Fouten">
      <calculatedColumnFormula>SUM(Table7[[#This Row],[W]],Table7[[#This Row],[A]],Table7[[#This Row],[F]])*5</calculatedColumnFormula>
    </tableColumn>
    <tableColumn id="16" xr3:uid="{00000000-0010-0000-0600-000010000000}" name="Sorteren">
      <calculatedColumnFormula>TEXT(Table7[[#This Row],[Score]],"00,00")&amp;TEXT(Table7[[#This Row],[Fouten]],"00")&amp;TEXT(Table7[[#This Row],[Tijd]],"00,000")</calculatedColumnFormula>
    </tableColumn>
    <tableColumn id="17" xr3:uid="{00000000-0010-0000-0600-000011000000}" name="Waarschuwing">
      <calculatedColumnFormula>IF(IFERROR(VLOOKUP(Table7[[#This Row],[SNR]],Deelnemers[#Data],7,0),0)&lt;&gt;$C$4,"Loopt niet in deze groep!",IF(COUNTIF(Table7[SNR],Table7[[#This Row],[SNR]])&gt;1,"Dubbel",""))</calculatedColumnFormula>
    </tableColumn>
  </tableColumns>
  <tableStyleInfo name="TableStyleMedium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Q16" totalsRowShown="0">
  <autoFilter ref="A7:Q16" xr:uid="{00000000-0009-0000-0100-000008000000}"/>
  <sortState ref="A8:Q16">
    <sortCondition ref="P7:P16"/>
  </sortState>
  <tableColumns count="17">
    <tableColumn id="1" xr3:uid="{00000000-0010-0000-0700-000001000000}" name="Licentie">
      <calculatedColumnFormula>IFERROR(VLOOKUP(Table8[[#This Row],[SNR]],Deelnemers[#Data],2,0),"")</calculatedColumnFormula>
    </tableColumn>
    <tableColumn id="2" xr3:uid="{00000000-0010-0000-0700-000002000000}" name="Plaats">
      <calculatedColumnFormula>IF(VLOOKUP(Table8[[#This Row],[SNR]],Deelnemers[#Data],8,0)&gt;0,"BM",IF(Table8[[#This Row],[Score]]="Disk",0,MATCH(Table8[[#This Row],[Sorteren]],Table8[Sorteren],0)-COUNTIF($B$7:$B7,"BM")))</calculatedColumnFormula>
    </tableColumn>
    <tableColumn id="3" xr3:uid="{00000000-0010-0000-0700-000003000000}" name="Punt"/>
    <tableColumn id="4" xr3:uid="{00000000-0010-0000-0700-000004000000}" name="Handler">
      <calculatedColumnFormula>IFERROR(VLOOKUP(Table8[[#This Row],[SNR]],Deelnemers[#Data],3,0),"")</calculatedColumnFormula>
    </tableColumn>
    <tableColumn id="5" xr3:uid="{00000000-0010-0000-0700-000005000000}" name="Hond">
      <calculatedColumnFormula>IFERROR(VLOOKUP(Table8[[#This Row],[SNR]],Deelnemers[#Data],4,0),"")</calculatedColumnFormula>
    </tableColumn>
    <tableColumn id="6" xr3:uid="{00000000-0010-0000-0700-000006000000}" name="Ras">
      <calculatedColumnFormula>IFERROR(VLOOKUP(Table8[[#This Row],[SNR]],Deelnemers[#Data],6,0),"")</calculatedColumnFormula>
    </tableColumn>
    <tableColumn id="7" xr3:uid="{00000000-0010-0000-0700-000007000000}" name="SNR" dataDxfId="163"/>
    <tableColumn id="8" xr3:uid="{00000000-0010-0000-0700-000008000000}" name="Tijd" dataDxfId="162"/>
    <tableColumn id="9" xr3:uid="{00000000-0010-0000-0700-000009000000}" name="W" dataDxfId="161"/>
    <tableColumn id="10" xr3:uid="{00000000-0010-0000-0700-00000A000000}" name="A" dataDxfId="160"/>
    <tableColumn id="11" xr3:uid="{00000000-0010-0000-0700-00000B000000}" name="F" dataDxfId="159"/>
    <tableColumn id="12" xr3:uid="{00000000-0010-0000-0700-00000C000000}" name="Disk" dataDxfId="158"/>
    <tableColumn id="13" xr3:uid="{00000000-0010-0000-0700-00000D000000}" name="Score">
      <calculatedColumnFormula>IF(OR(ISNUMBER(SEARCH("Jumping", $C$5)),ISNUMBER(SEARCH("Vast Parcours", $C$5)), ISNUMBER(SEARCH("NKT", $C$5))),IF(OR(Table8[[#This Row],[Disk]]&gt;0,Table8[[#This Row],[W]]&gt;=3,Table8[[#This Row],[Tijd]]&gt;$F$3),"Disk",IF(ISBLANK(Table8[[#This Row],[Tijd]]),"",Table8[[#This Row],[Fouten]]+MAX(0,Table8[[#This Row],[Tijd]]-$F$2))),"-")</calculatedColumnFormula>
    </tableColumn>
    <tableColumn id="14" xr3:uid="{00000000-0010-0000-0700-00000E000000}" name="m/s">
      <calculatedColumnFormula>IFERROR(PRODUCT($F$4,1/Table8[[#This Row],[Tijd]]),0)</calculatedColumnFormula>
    </tableColumn>
    <tableColumn id="15" xr3:uid="{00000000-0010-0000-0700-00000F000000}" name="Fouten">
      <calculatedColumnFormula>SUM(Table8[[#This Row],[W]],Table8[[#This Row],[A]],Table8[[#This Row],[F]])*5</calculatedColumnFormula>
    </tableColumn>
    <tableColumn id="16" xr3:uid="{00000000-0010-0000-0700-000010000000}" name="Sorteren">
      <calculatedColumnFormula>TEXT(Table8[[#This Row],[Score]],"00,00")&amp;TEXT(Table8[[#This Row],[Fouten]],"00")&amp;TEXT(Table8[[#This Row],[Tijd]],"00,000")</calculatedColumnFormula>
    </tableColumn>
    <tableColumn id="17" xr3:uid="{00000000-0010-0000-0700-000011000000}" name="Waarschuwing">
      <calculatedColumnFormula>IF(IFERROR(VLOOKUP(Table8[[#This Row],[SNR]],Deelnemers[#Data],7,0),0)&lt;&gt;$C$4,"Loopt niet in deze groep!",IF(COUNTIF(Table8[SNR],Table8[[#This Row],[SNR]])&gt;1,"Dubbel",""))</calculatedColumnFormula>
    </tableColumn>
  </tableColumns>
  <tableStyleInfo name="TableStyleMedium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Q17" totalsRowShown="0">
  <autoFilter ref="A7:Q17" xr:uid="{00000000-0009-0000-0100-000009000000}"/>
  <sortState ref="A8:Q17">
    <sortCondition ref="P7:P17"/>
  </sortState>
  <tableColumns count="17">
    <tableColumn id="1" xr3:uid="{00000000-0010-0000-0800-000001000000}" name="Licentie">
      <calculatedColumnFormula>IFERROR(VLOOKUP(Table9[[#This Row],[SNR]],Deelnemers[#Data],2,0),"")</calculatedColumnFormula>
    </tableColumn>
    <tableColumn id="2" xr3:uid="{00000000-0010-0000-0800-000002000000}" name="Plaats">
      <calculatedColumnFormula>IF(VLOOKUP(Table9[[#This Row],[SNR]],Deelnemers[#Data],8,0)&gt;0,"BM",IF(Table9[[#This Row],[Score]]="Disk",0,MATCH(Table9[[#This Row],[Sorteren]],Table9[Sorteren],0)-COUNTIF($B$7:$B7,"BM")))</calculatedColumnFormula>
    </tableColumn>
    <tableColumn id="3" xr3:uid="{00000000-0010-0000-0800-000003000000}" name="Punt"/>
    <tableColumn id="4" xr3:uid="{00000000-0010-0000-0800-000004000000}" name="Handler">
      <calculatedColumnFormula>IFERROR(VLOOKUP(Table9[[#This Row],[SNR]],Deelnemers[#Data],3,0),"")</calculatedColumnFormula>
    </tableColumn>
    <tableColumn id="5" xr3:uid="{00000000-0010-0000-0800-000005000000}" name="Hond">
      <calculatedColumnFormula>IFERROR(VLOOKUP(Table9[[#This Row],[SNR]],Deelnemers[#Data],4,0),"")</calculatedColumnFormula>
    </tableColumn>
    <tableColumn id="6" xr3:uid="{00000000-0010-0000-0800-000006000000}" name="Ras">
      <calculatedColumnFormula>IFERROR(VLOOKUP(Table9[[#This Row],[SNR]],Deelnemers[#Data],6,0),"")</calculatedColumnFormula>
    </tableColumn>
    <tableColumn id="7" xr3:uid="{00000000-0010-0000-0800-000007000000}" name="SNR" dataDxfId="155"/>
    <tableColumn id="8" xr3:uid="{00000000-0010-0000-0800-000008000000}" name="Tijd" dataDxfId="154"/>
    <tableColumn id="9" xr3:uid="{00000000-0010-0000-0800-000009000000}" name="W" dataDxfId="153"/>
    <tableColumn id="10" xr3:uid="{00000000-0010-0000-0800-00000A000000}" name="A" dataDxfId="152"/>
    <tableColumn id="11" xr3:uid="{00000000-0010-0000-0800-00000B000000}" name="F" dataDxfId="151"/>
    <tableColumn id="12" xr3:uid="{00000000-0010-0000-0800-00000C000000}" name="Disk" dataDxfId="150"/>
    <tableColumn id="13" xr3:uid="{00000000-0010-0000-0800-00000D000000}" name="Score">
      <calculatedColumnFormula>IF(OR(ISNUMBER(SEARCH("Jumping", $C$5)),ISNUMBER(SEARCH("Vast Parcours", $C$5)), ISNUMBER(SEARCH("NKT", $C$5))),IF(OR(Table9[[#This Row],[Disk]]&gt;0,Table9[[#This Row],[W]]&gt;=3,Table9[[#This Row],[Tijd]]&gt;$F$3),"Disk",IF(ISBLANK(Table9[[#This Row],[Tijd]]),"",Table9[[#This Row],[Fouten]]+MAX(0,Table9[[#This Row],[Tijd]]-$F$2))),"-")</calculatedColumnFormula>
    </tableColumn>
    <tableColumn id="14" xr3:uid="{00000000-0010-0000-0800-00000E000000}" name="m/s">
      <calculatedColumnFormula>IFERROR(PRODUCT($F$4,1/Table9[[#This Row],[Tijd]]),0)</calculatedColumnFormula>
    </tableColumn>
    <tableColumn id="15" xr3:uid="{00000000-0010-0000-0800-00000F000000}" name="Fouten">
      <calculatedColumnFormula>SUM(Table9[[#This Row],[W]],Table9[[#This Row],[A]],Table9[[#This Row],[F]])*5</calculatedColumnFormula>
    </tableColumn>
    <tableColumn id="16" xr3:uid="{00000000-0010-0000-0800-000010000000}" name="Sorteren">
      <calculatedColumnFormula>TEXT(Table9[[#This Row],[Score]],"00,00")&amp;TEXT(Table9[[#This Row],[Fouten]],"00")&amp;TEXT(Table9[[#This Row],[Tijd]],"00,000")</calculatedColumnFormula>
    </tableColumn>
    <tableColumn id="17" xr3:uid="{00000000-0010-0000-0800-000011000000}" name="Waarschuwing">
      <calculatedColumnFormula>IF(IFERROR(VLOOKUP(Table9[[#This Row],[SNR]],Deelnemers[#Data],7,0),0)&lt;&gt;$C$4,"Loopt niet in deze groep!",IF(COUNTIF(Table9[SNR],Table9[[#This Row],[SNR]])&gt;1,"Dubbel",""))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workbookViewId="0"/>
  </sheetViews>
  <sheetFormatPr baseColWidth="10" defaultColWidth="8.83203125" defaultRowHeight="15" x14ac:dyDescent="0.2"/>
  <cols>
    <col min="1" max="2" width="15.6640625" customWidth="1"/>
    <col min="3" max="3" width="25.6640625" customWidth="1"/>
  </cols>
  <sheetData>
    <row r="1" spans="1:2" x14ac:dyDescent="0.2">
      <c r="A1" s="1" t="s">
        <v>49</v>
      </c>
      <c r="B1" s="1" t="s">
        <v>50</v>
      </c>
    </row>
    <row r="2" spans="1:2" x14ac:dyDescent="0.2">
      <c r="A2" t="s">
        <v>0</v>
      </c>
      <c r="B2" t="s">
        <v>18</v>
      </c>
    </row>
    <row r="3" spans="1:2" x14ac:dyDescent="0.2">
      <c r="A3" t="s">
        <v>1</v>
      </c>
      <c r="B3" t="s">
        <v>19</v>
      </c>
    </row>
    <row r="4" spans="1:2" x14ac:dyDescent="0.2">
      <c r="A4" t="s">
        <v>2</v>
      </c>
      <c r="B4" t="s">
        <v>20</v>
      </c>
    </row>
    <row r="5" spans="1:2" x14ac:dyDescent="0.2">
      <c r="A5" t="s">
        <v>3</v>
      </c>
      <c r="B5" t="s">
        <v>21</v>
      </c>
    </row>
    <row r="6" spans="1:2" x14ac:dyDescent="0.2">
      <c r="A6" t="s">
        <v>4</v>
      </c>
      <c r="B6" t="s">
        <v>22</v>
      </c>
    </row>
    <row r="7" spans="1:2" x14ac:dyDescent="0.2">
      <c r="A7" t="s">
        <v>5</v>
      </c>
      <c r="B7" t="s">
        <v>23</v>
      </c>
    </row>
    <row r="8" spans="1:2" x14ac:dyDescent="0.2">
      <c r="A8" t="s">
        <v>6</v>
      </c>
      <c r="B8" t="s">
        <v>24</v>
      </c>
    </row>
    <row r="9" spans="1:2" x14ac:dyDescent="0.2">
      <c r="A9" t="s">
        <v>7</v>
      </c>
      <c r="B9" t="s">
        <v>25</v>
      </c>
    </row>
    <row r="10" spans="1:2" x14ac:dyDescent="0.2">
      <c r="A10" t="s">
        <v>8</v>
      </c>
      <c r="B10" t="s">
        <v>26</v>
      </c>
    </row>
    <row r="11" spans="1:2" x14ac:dyDescent="0.2">
      <c r="A11" t="s">
        <v>9</v>
      </c>
      <c r="B11" t="s">
        <v>27</v>
      </c>
    </row>
    <row r="12" spans="1:2" x14ac:dyDescent="0.2">
      <c r="A12" t="s">
        <v>10</v>
      </c>
      <c r="B12" t="s">
        <v>28</v>
      </c>
    </row>
    <row r="13" spans="1:2" x14ac:dyDescent="0.2">
      <c r="A13" t="s">
        <v>11</v>
      </c>
      <c r="B13" t="s">
        <v>29</v>
      </c>
    </row>
    <row r="14" spans="1:2" x14ac:dyDescent="0.2">
      <c r="A14" t="s">
        <v>12</v>
      </c>
      <c r="B14" t="s">
        <v>30</v>
      </c>
    </row>
    <row r="15" spans="1:2" x14ac:dyDescent="0.2">
      <c r="A15" t="s">
        <v>13</v>
      </c>
      <c r="B15" t="s">
        <v>31</v>
      </c>
    </row>
    <row r="16" spans="1:2" x14ac:dyDescent="0.2">
      <c r="A16" t="s">
        <v>14</v>
      </c>
      <c r="B16" t="s">
        <v>32</v>
      </c>
    </row>
    <row r="17" spans="1:2" x14ac:dyDescent="0.2">
      <c r="A17" t="s">
        <v>15</v>
      </c>
      <c r="B17" t="s">
        <v>33</v>
      </c>
    </row>
    <row r="18" spans="1:2" x14ac:dyDescent="0.2">
      <c r="A18" t="s">
        <v>16</v>
      </c>
      <c r="B18" t="s">
        <v>34</v>
      </c>
    </row>
    <row r="19" spans="1:2" x14ac:dyDescent="0.2">
      <c r="A19" t="s">
        <v>17</v>
      </c>
      <c r="B19" t="s">
        <v>35</v>
      </c>
    </row>
    <row r="20" spans="1:2" x14ac:dyDescent="0.2">
      <c r="B20" t="s">
        <v>36</v>
      </c>
    </row>
    <row r="21" spans="1:2" x14ac:dyDescent="0.2">
      <c r="B21" t="s">
        <v>37</v>
      </c>
    </row>
    <row r="22" spans="1:2" x14ac:dyDescent="0.2">
      <c r="B22" t="s">
        <v>38</v>
      </c>
    </row>
    <row r="23" spans="1:2" x14ac:dyDescent="0.2">
      <c r="B23" t="s">
        <v>39</v>
      </c>
    </row>
    <row r="24" spans="1:2" x14ac:dyDescent="0.2">
      <c r="B24" t="s">
        <v>40</v>
      </c>
    </row>
    <row r="25" spans="1:2" x14ac:dyDescent="0.2">
      <c r="B25" t="s">
        <v>41</v>
      </c>
    </row>
    <row r="26" spans="1:2" x14ac:dyDescent="0.2">
      <c r="B26" t="s">
        <v>42</v>
      </c>
    </row>
    <row r="27" spans="1:2" x14ac:dyDescent="0.2">
      <c r="B27" t="s">
        <v>43</v>
      </c>
    </row>
    <row r="28" spans="1:2" x14ac:dyDescent="0.2">
      <c r="B28" t="s">
        <v>44</v>
      </c>
    </row>
    <row r="29" spans="1:2" x14ac:dyDescent="0.2">
      <c r="B29" t="s">
        <v>45</v>
      </c>
    </row>
    <row r="30" spans="1:2" x14ac:dyDescent="0.2">
      <c r="B30" t="s">
        <v>46</v>
      </c>
    </row>
    <row r="31" spans="1:2" x14ac:dyDescent="0.2">
      <c r="B31" t="s">
        <v>47</v>
      </c>
    </row>
    <row r="32" spans="1:2" x14ac:dyDescent="0.2">
      <c r="B32" t="s">
        <v>48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7"/>
  <sheetViews>
    <sheetView workbookViewId="0">
      <selection activeCell="L9" sqref="L9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6">
        <v>54</v>
      </c>
      <c r="G2" t="s">
        <v>308</v>
      </c>
      <c r="H2" s="12" t="str">
        <f>$C$4</f>
        <v>1ᵉ graad Small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6">
        <v>84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2</v>
      </c>
      <c r="D4" s="13"/>
      <c r="E4" t="s">
        <v>310</v>
      </c>
      <c r="F4" s="6">
        <v>168</v>
      </c>
      <c r="G4" t="s">
        <v>311</v>
      </c>
      <c r="H4" s="12" t="str">
        <f>$C$5</f>
        <v>Vast Parcours 1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324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IFERROR(VLOOKUP(Table9[[#This Row],[SNR]],Deelnemers[#Data],2,0),"")</f>
        <v>184101</v>
      </c>
      <c r="B8">
        <f>IF(VLOOKUP(Table9[[#This Row],[SNR]],Deelnemers[#Data],8,0)&gt;0,"BM",IF(Table9[[#This Row],[Score]]="Disk",0,MATCH(Table9[[#This Row],[Sorteren]],Table9[Sorteren],0)-COUNTIF($B$7:$B7,"BM")))</f>
        <v>1</v>
      </c>
      <c r="D8" t="str">
        <f>IFERROR(VLOOKUP(Table9[[#This Row],[SNR]],Deelnemers[#Data],3,0),"")</f>
        <v>Jan Knol</v>
      </c>
      <c r="E8" t="str">
        <f>IFERROR(VLOOKUP(Table9[[#This Row],[SNR]],Deelnemers[#Data],4,0),"")</f>
        <v>Kenzo</v>
      </c>
      <c r="F8" t="str">
        <f>IFERROR(VLOOKUP(Table9[[#This Row],[SNR]],Deelnemers[#Data],6,0),"")</f>
        <v>Cavalier King Charles Spaniël</v>
      </c>
      <c r="G8" s="6">
        <v>118</v>
      </c>
      <c r="H8" s="6">
        <v>44.1</v>
      </c>
      <c r="I8" s="6"/>
      <c r="J8" s="6"/>
      <c r="K8" s="6"/>
      <c r="L8" s="6"/>
      <c r="M8">
        <f>IF(OR(ISNUMBER(SEARCH("Jumping", $C$5)),ISNUMBER(SEARCH("Vast Parcours", $C$5)), ISNUMBER(SEARCH("NKT", $C$5))),IF(OR(Table9[[#This Row],[Disk]]&gt;0,Table9[[#This Row],[W]]&gt;=3,Table9[[#This Row],[Tijd]]&gt;$F$3),"Disk",IF(ISBLANK(Table9[[#This Row],[Tijd]]),"",Table9[[#This Row],[Fouten]]+MAX(0,Table9[[#This Row],[Tijd]]-$F$2))),"-")</f>
        <v>0</v>
      </c>
      <c r="N8">
        <f>IFERROR(PRODUCT($F$4,1/Table9[[#This Row],[Tijd]]),0)</f>
        <v>3.8095238095238093</v>
      </c>
      <c r="O8">
        <f>SUM(Table9[[#This Row],[W]],Table9[[#This Row],[A]],Table9[[#This Row],[F]])*5</f>
        <v>0</v>
      </c>
      <c r="P8" t="str">
        <f>TEXT(Table9[[#This Row],[Score]],"00,00")&amp;TEXT(Table9[[#This Row],[Fouten]],"00")&amp;TEXT(Table9[[#This Row],[Tijd]],"00,000")</f>
        <v>00,000044,100</v>
      </c>
      <c r="Q8" t="str">
        <f>IF(IFERROR(VLOOKUP(Table9[[#This Row],[SNR]],Deelnemers[#Data],7,0),0)&lt;&gt;$C$4,"Loopt niet in deze groep!",IF(COUNTIF(Table9[SNR],Table9[[#This Row],[SNR]])&gt;1,"Dubbel",""))</f>
        <v/>
      </c>
    </row>
    <row r="9" spans="1:17" x14ac:dyDescent="0.2">
      <c r="A9">
        <f>IFERROR(VLOOKUP(Table9[[#This Row],[SNR]],Deelnemers[#Data],2,0),"")</f>
        <v>184314</v>
      </c>
      <c r="B9">
        <f>IF(VLOOKUP(Table9[[#This Row],[SNR]],Deelnemers[#Data],8,0)&gt;0,"BM",IF(Table9[[#This Row],[Score]]="Disk",0,MATCH(Table9[[#This Row],[Sorteren]],Table9[Sorteren],0)-COUNTIF($B$7:$B8,"BM")))</f>
        <v>2</v>
      </c>
      <c r="D9" t="str">
        <f>IFERROR(VLOOKUP(Table9[[#This Row],[SNR]],Deelnemers[#Data],3,0),"")</f>
        <v>Marjanna Bremer</v>
      </c>
      <c r="E9" t="str">
        <f>IFERROR(VLOOKUP(Table9[[#This Row],[SNR]],Deelnemers[#Data],4,0),"")</f>
        <v>Fizzjuh</v>
      </c>
      <c r="F9" t="str">
        <f>IFERROR(VLOOKUP(Table9[[#This Row],[SNR]],Deelnemers[#Data],6,0),"")</f>
        <v>chihuahua mix</v>
      </c>
      <c r="G9" s="6">
        <v>117</v>
      </c>
      <c r="H9" s="6">
        <v>53.98</v>
      </c>
      <c r="I9" s="6"/>
      <c r="J9" s="6"/>
      <c r="K9" s="6"/>
      <c r="L9" s="6"/>
      <c r="M9">
        <f>IF(OR(ISNUMBER(SEARCH("Jumping", $C$5)),ISNUMBER(SEARCH("Vast Parcours", $C$5)), ISNUMBER(SEARCH("NKT", $C$5))),IF(OR(Table9[[#This Row],[Disk]]&gt;0,Table9[[#This Row],[W]]&gt;=3,Table9[[#This Row],[Tijd]]&gt;$F$3),"Disk",IF(ISBLANK(Table9[[#This Row],[Tijd]]),"",Table9[[#This Row],[Fouten]]+MAX(0,Table9[[#This Row],[Tijd]]-$F$2))),"-")</f>
        <v>0</v>
      </c>
      <c r="N9">
        <f>IFERROR(PRODUCT($F$4,1/Table9[[#This Row],[Tijd]]),0)</f>
        <v>3.1122638014079289</v>
      </c>
      <c r="O9">
        <f>SUM(Table9[[#This Row],[W]],Table9[[#This Row],[A]],Table9[[#This Row],[F]])*5</f>
        <v>0</v>
      </c>
      <c r="P9" t="str">
        <f>TEXT(Table9[[#This Row],[Score]],"00,00")&amp;TEXT(Table9[[#This Row],[Fouten]],"00")&amp;TEXT(Table9[[#This Row],[Tijd]],"00,000")</f>
        <v>00,000053,980</v>
      </c>
      <c r="Q9" t="str">
        <f>IF(IFERROR(VLOOKUP(Table9[[#This Row],[SNR]],Deelnemers[#Data],7,0),0)&lt;&gt;$C$4,"Loopt niet in deze groep!",IF(COUNTIF(Table9[SNR],Table9[[#This Row],[SNR]])&gt;1,"Dubbel",""))</f>
        <v/>
      </c>
    </row>
    <row r="10" spans="1:17" x14ac:dyDescent="0.2">
      <c r="A10">
        <f>IFERROR(VLOOKUP(Table9[[#This Row],[SNR]],Deelnemers[#Data],2,0),"")</f>
        <v>182257</v>
      </c>
      <c r="B10">
        <f>IF(VLOOKUP(Table9[[#This Row],[SNR]],Deelnemers[#Data],8,0)&gt;0,"BM",IF(Table9[[#This Row],[Score]]="Disk",0,MATCH(Table9[[#This Row],[Sorteren]],Table9[Sorteren],0)-COUNTIF($B$7:$B9,"BM")))</f>
        <v>3</v>
      </c>
      <c r="D10" t="str">
        <f>IFERROR(VLOOKUP(Table9[[#This Row],[SNR]],Deelnemers[#Data],3,0),"")</f>
        <v>Claudia Engelen</v>
      </c>
      <c r="E10" t="str">
        <f>IFERROR(VLOOKUP(Table9[[#This Row],[SNR]],Deelnemers[#Data],4,0),"")</f>
        <v>Sep</v>
      </c>
      <c r="F10" t="str">
        <f>IFERROR(VLOOKUP(Table9[[#This Row],[SNR]],Deelnemers[#Data],6,0),"")</f>
        <v>dwergpoedel</v>
      </c>
      <c r="G10" s="6">
        <v>120</v>
      </c>
      <c r="H10" s="6">
        <v>48.58</v>
      </c>
      <c r="I10" s="6">
        <v>2</v>
      </c>
      <c r="J10" s="6"/>
      <c r="K10" s="6">
        <v>1</v>
      </c>
      <c r="L10" s="6"/>
      <c r="M10">
        <f>IF(OR(ISNUMBER(SEARCH("Jumping", $C$5)),ISNUMBER(SEARCH("Vast Parcours", $C$5)), ISNUMBER(SEARCH("NKT", $C$5))),IF(OR(Table9[[#This Row],[Disk]]&gt;0,Table9[[#This Row],[W]]&gt;=3,Table9[[#This Row],[Tijd]]&gt;$F$3),"Disk",IF(ISBLANK(Table9[[#This Row],[Tijd]]),"",Table9[[#This Row],[Fouten]]+MAX(0,Table9[[#This Row],[Tijd]]-$F$2))),"-")</f>
        <v>15</v>
      </c>
      <c r="N10">
        <f>IFERROR(PRODUCT($F$4,1/Table9[[#This Row],[Tijd]]),0)</f>
        <v>3.4582132564841497</v>
      </c>
      <c r="O10">
        <f>SUM(Table9[[#This Row],[W]],Table9[[#This Row],[A]],Table9[[#This Row],[F]])*5</f>
        <v>15</v>
      </c>
      <c r="P10" t="str">
        <f>TEXT(Table9[[#This Row],[Score]],"00,00")&amp;TEXT(Table9[[#This Row],[Fouten]],"00")&amp;TEXT(Table9[[#This Row],[Tijd]],"00,000")</f>
        <v>15,001548,580</v>
      </c>
      <c r="Q10" t="str">
        <f>IF(IFERROR(VLOOKUP(Table9[[#This Row],[SNR]],Deelnemers[#Data],7,0),0)&lt;&gt;$C$4,"Loopt niet in deze groep!",IF(COUNTIF(Table9[SNR],Table9[[#This Row],[SNR]])&gt;1,"Dubbel",""))</f>
        <v/>
      </c>
    </row>
    <row r="11" spans="1:17" x14ac:dyDescent="0.2">
      <c r="A11">
        <f>IFERROR(VLOOKUP(Table9[[#This Row],[SNR]],Deelnemers[#Data],2,0),"")</f>
        <v>184160</v>
      </c>
      <c r="B11">
        <f>IF(VLOOKUP(Table9[[#This Row],[SNR]],Deelnemers[#Data],8,0)&gt;0,"BM",IF(Table9[[#This Row],[Score]]="Disk",0,MATCH(Table9[[#This Row],[Sorteren]],Table9[Sorteren],0)-COUNTIF($B$7:$B10,"BM")))</f>
        <v>4</v>
      </c>
      <c r="D11" t="str">
        <f>IFERROR(VLOOKUP(Table9[[#This Row],[SNR]],Deelnemers[#Data],3,0),"")</f>
        <v>Cathy Rubingh</v>
      </c>
      <c r="E11" t="str">
        <f>IFERROR(VLOOKUP(Table9[[#This Row],[SNR]],Deelnemers[#Data],4,0),"")</f>
        <v>Lilly</v>
      </c>
      <c r="F11" t="str">
        <f>IFERROR(VLOOKUP(Table9[[#This Row],[SNR]],Deelnemers[#Data],6,0),"")</f>
        <v>pomeranian</v>
      </c>
      <c r="G11" s="6">
        <v>112</v>
      </c>
      <c r="H11" s="6">
        <v>57.24</v>
      </c>
      <c r="I11" s="6">
        <v>1</v>
      </c>
      <c r="J11" s="6"/>
      <c r="K11" s="6">
        <v>2</v>
      </c>
      <c r="L11" s="6"/>
      <c r="M11">
        <f>IF(OR(ISNUMBER(SEARCH("Jumping", $C$5)),ISNUMBER(SEARCH("Vast Parcours", $C$5)), ISNUMBER(SEARCH("NKT", $C$5))),IF(OR(Table9[[#This Row],[Disk]]&gt;0,Table9[[#This Row],[W]]&gt;=3,Table9[[#This Row],[Tijd]]&gt;$F$3),"Disk",IF(ISBLANK(Table9[[#This Row],[Tijd]]),"",Table9[[#This Row],[Fouten]]+MAX(0,Table9[[#This Row],[Tijd]]-$F$2))),"-")</f>
        <v>18.240000000000002</v>
      </c>
      <c r="N11">
        <f>IFERROR(PRODUCT($F$4,1/Table9[[#This Row],[Tijd]]),0)</f>
        <v>2.9350104821802931</v>
      </c>
      <c r="O11">
        <f>SUM(Table9[[#This Row],[W]],Table9[[#This Row],[A]],Table9[[#This Row],[F]])*5</f>
        <v>15</v>
      </c>
      <c r="P11" t="str">
        <f>TEXT(Table9[[#This Row],[Score]],"00,00")&amp;TEXT(Table9[[#This Row],[Fouten]],"00")&amp;TEXT(Table9[[#This Row],[Tijd]],"00,000")</f>
        <v>18,241557,240</v>
      </c>
      <c r="Q11" t="str">
        <f>IF(IFERROR(VLOOKUP(Table9[[#This Row],[SNR]],Deelnemers[#Data],7,0),0)&lt;&gt;$C$4,"Loopt niet in deze groep!",IF(COUNTIF(Table9[SNR],Table9[[#This Row],[SNR]])&gt;1,"Dubbel",""))</f>
        <v/>
      </c>
    </row>
    <row r="12" spans="1:17" x14ac:dyDescent="0.2">
      <c r="A12">
        <f>IFERROR(VLOOKUP(Table9[[#This Row],[SNR]],Deelnemers[#Data],2,0),"")</f>
        <v>165409</v>
      </c>
      <c r="B12">
        <f>IF(VLOOKUP(Table9[[#This Row],[SNR]],Deelnemers[#Data],8,0)&gt;0,"BM",IF(Table9[[#This Row],[Score]]="Disk",0,MATCH(Table9[[#This Row],[Sorteren]],Table9[Sorteren],0)-COUNTIF($B$7:$B11,"BM")))</f>
        <v>5</v>
      </c>
      <c r="D12" t="str">
        <f>IFERROR(VLOOKUP(Table9[[#This Row],[SNR]],Deelnemers[#Data],3,0),"")</f>
        <v>Dimphy Penninkhof</v>
      </c>
      <c r="E12" t="str">
        <f>IFERROR(VLOOKUP(Table9[[#This Row],[SNR]],Deelnemers[#Data],4,0),"")</f>
        <v>Tommy</v>
      </c>
      <c r="F12" t="str">
        <f>IFERROR(VLOOKUP(Table9[[#This Row],[SNR]],Deelnemers[#Data],6,0),"")</f>
        <v>jack russell terrier</v>
      </c>
      <c r="G12" s="6">
        <v>116</v>
      </c>
      <c r="H12" s="6">
        <v>62.92</v>
      </c>
      <c r="I12" s="6"/>
      <c r="J12" s="6"/>
      <c r="K12" s="6">
        <v>2</v>
      </c>
      <c r="L12" s="6"/>
      <c r="M12">
        <f>IF(OR(ISNUMBER(SEARCH("Jumping", $C$5)),ISNUMBER(SEARCH("Vast Parcours", $C$5)), ISNUMBER(SEARCH("NKT", $C$5))),IF(OR(Table9[[#This Row],[Disk]]&gt;0,Table9[[#This Row],[W]]&gt;=3,Table9[[#This Row],[Tijd]]&gt;$F$3),"Disk",IF(ISBLANK(Table9[[#This Row],[Tijd]]),"",Table9[[#This Row],[Fouten]]+MAX(0,Table9[[#This Row],[Tijd]]-$F$2))),"-")</f>
        <v>18.920000000000002</v>
      </c>
      <c r="N12">
        <f>IFERROR(PRODUCT($F$4,1/Table9[[#This Row],[Tijd]]),0)</f>
        <v>2.6700572155117608</v>
      </c>
      <c r="O12">
        <f>SUM(Table9[[#This Row],[W]],Table9[[#This Row],[A]],Table9[[#This Row],[F]])*5</f>
        <v>10</v>
      </c>
      <c r="P12" t="str">
        <f>TEXT(Table9[[#This Row],[Score]],"00,00")&amp;TEXT(Table9[[#This Row],[Fouten]],"00")&amp;TEXT(Table9[[#This Row],[Tijd]],"00,000")</f>
        <v>18,921062,920</v>
      </c>
      <c r="Q12" t="str">
        <f>IF(IFERROR(VLOOKUP(Table9[[#This Row],[SNR]],Deelnemers[#Data],7,0),0)&lt;&gt;$C$4,"Loopt niet in deze groep!",IF(COUNTIF(Table9[SNR],Table9[[#This Row],[SNR]])&gt;1,"Dubbel",""))</f>
        <v/>
      </c>
    </row>
    <row r="13" spans="1:17" x14ac:dyDescent="0.2">
      <c r="A13">
        <f>IFERROR(VLOOKUP(Table9[[#This Row],[SNR]],Deelnemers[#Data],2,0),"")</f>
        <v>180580</v>
      </c>
      <c r="B13">
        <f>IF(VLOOKUP(Table9[[#This Row],[SNR]],Deelnemers[#Data],8,0)&gt;0,"BM",IF(Table9[[#This Row],[Score]]="Disk",0,MATCH(Table9[[#This Row],[Sorteren]],Table9[Sorteren],0)-COUNTIF($B$7:$B12,"BM")))</f>
        <v>6</v>
      </c>
      <c r="D13" t="str">
        <f>IFERROR(VLOOKUP(Table9[[#This Row],[SNR]],Deelnemers[#Data],3,0),"")</f>
        <v>Rosanne Wemerman</v>
      </c>
      <c r="E13" t="str">
        <f>IFERROR(VLOOKUP(Table9[[#This Row],[SNR]],Deelnemers[#Data],4,0),"")</f>
        <v>Quincy</v>
      </c>
      <c r="F13" t="str">
        <f>IFERROR(VLOOKUP(Table9[[#This Row],[SNR]],Deelnemers[#Data],6,0),"")</f>
        <v>kruising dwergkees chihuahua</v>
      </c>
      <c r="G13" s="6">
        <v>115</v>
      </c>
      <c r="H13" s="6">
        <v>67</v>
      </c>
      <c r="I13" s="6"/>
      <c r="J13" s="6"/>
      <c r="K13" s="6">
        <v>2</v>
      </c>
      <c r="L13" s="6"/>
      <c r="M13">
        <f>IF(OR(ISNUMBER(SEARCH("Jumping", $C$5)),ISNUMBER(SEARCH("Vast Parcours", $C$5)), ISNUMBER(SEARCH("NKT", $C$5))),IF(OR(Table9[[#This Row],[Disk]]&gt;0,Table9[[#This Row],[W]]&gt;=3,Table9[[#This Row],[Tijd]]&gt;$F$3),"Disk",IF(ISBLANK(Table9[[#This Row],[Tijd]]),"",Table9[[#This Row],[Fouten]]+MAX(0,Table9[[#This Row],[Tijd]]-$F$2))),"-")</f>
        <v>23</v>
      </c>
      <c r="N13">
        <f>IFERROR(PRODUCT($F$4,1/Table9[[#This Row],[Tijd]]),0)</f>
        <v>2.5074626865671643</v>
      </c>
      <c r="O13">
        <f>SUM(Table9[[#This Row],[W]],Table9[[#This Row],[A]],Table9[[#This Row],[F]])*5</f>
        <v>10</v>
      </c>
      <c r="P13" t="str">
        <f>TEXT(Table9[[#This Row],[Score]],"00,00")&amp;TEXT(Table9[[#This Row],[Fouten]],"00")&amp;TEXT(Table9[[#This Row],[Tijd]],"00,000")</f>
        <v>23,001067,000</v>
      </c>
      <c r="Q13" t="str">
        <f>IF(IFERROR(VLOOKUP(Table9[[#This Row],[SNR]],Deelnemers[#Data],7,0),0)&lt;&gt;$C$4,"Loopt niet in deze groep!",IF(COUNTIF(Table9[SNR],Table9[[#This Row],[SNR]])&gt;1,"Dubbel",""))</f>
        <v/>
      </c>
    </row>
    <row r="14" spans="1:17" x14ac:dyDescent="0.2">
      <c r="A14">
        <f>IFERROR(VLOOKUP(Table9[[#This Row],[SNR]],Deelnemers[#Data],2,0),"")</f>
        <v>184349</v>
      </c>
      <c r="B14">
        <f>IF(VLOOKUP(Table9[[#This Row],[SNR]],Deelnemers[#Data],8,0)&gt;0,"BM",IF(Table9[[#This Row],[Score]]="Disk",0,MATCH(Table9[[#This Row],[Sorteren]],Table9[Sorteren],0)-COUNTIF($B$7:$B13,"BM")))</f>
        <v>0</v>
      </c>
      <c r="D14" t="str">
        <f>IFERROR(VLOOKUP(Table9[[#This Row],[SNR]],Deelnemers[#Data],3,0),"")</f>
        <v>Amanda Valk</v>
      </c>
      <c r="E14" t="str">
        <f>IFERROR(VLOOKUP(Table9[[#This Row],[SNR]],Deelnemers[#Data],4,0),"")</f>
        <v>Kyra</v>
      </c>
      <c r="F14" t="str">
        <f>IFERROR(VLOOKUP(Table9[[#This Row],[SNR]],Deelnemers[#Data],6,0),"")</f>
        <v>cairn terriër</v>
      </c>
      <c r="G14" s="6">
        <v>119</v>
      </c>
      <c r="H14" s="6"/>
      <c r="I14" s="6"/>
      <c r="J14" s="6"/>
      <c r="K14" s="6"/>
      <c r="L14" s="6" t="s">
        <v>326</v>
      </c>
      <c r="M14" t="str">
        <f>IF(OR(ISNUMBER(SEARCH("Jumping", $C$5)),ISNUMBER(SEARCH("Vast Parcours", $C$5)), ISNUMBER(SEARCH("NKT", $C$5))),IF(OR(Table9[[#This Row],[Disk]]&gt;0,Table9[[#This Row],[W]]&gt;=3,Table9[[#This Row],[Tijd]]&gt;$F$3),"Disk",IF(ISBLANK(Table9[[#This Row],[Tijd]]),"",Table9[[#This Row],[Fouten]]+MAX(0,Table9[[#This Row],[Tijd]]-$F$2))),"-")</f>
        <v>Disk</v>
      </c>
      <c r="N14">
        <f>IFERROR(PRODUCT($F$4,1/Table9[[#This Row],[Tijd]]),0)</f>
        <v>0</v>
      </c>
      <c r="O14">
        <f>SUM(Table9[[#This Row],[W]],Table9[[#This Row],[A]],Table9[[#This Row],[F]])*5</f>
        <v>0</v>
      </c>
      <c r="P14" t="str">
        <f>TEXT(Table9[[#This Row],[Score]],"00,00")&amp;TEXT(Table9[[#This Row],[Fouten]],"00")&amp;TEXT(Table9[[#This Row],[Tijd]],"00,000")</f>
        <v>Disk0000,000</v>
      </c>
      <c r="Q14" t="str">
        <f>IF(IFERROR(VLOOKUP(Table9[[#This Row],[SNR]],Deelnemers[#Data],7,0),0)&lt;&gt;$C$4,"Loopt niet in deze groep!",IF(COUNTIF(Table9[SNR],Table9[[#This Row],[SNR]])&gt;1,"Dubbel",""))</f>
        <v/>
      </c>
    </row>
    <row r="15" spans="1:17" x14ac:dyDescent="0.2">
      <c r="A15">
        <f>IFERROR(VLOOKUP(Table9[[#This Row],[SNR]],Deelnemers[#Data],2,0),"")</f>
        <v>183210</v>
      </c>
      <c r="B15">
        <f>IF(VLOOKUP(Table9[[#This Row],[SNR]],Deelnemers[#Data],8,0)&gt;0,"BM",IF(Table9[[#This Row],[Score]]="Disk",0,MATCH(Table9[[#This Row],[Sorteren]],Table9[Sorteren],0)-COUNTIF($B$7:$B14,"BM")))</f>
        <v>0</v>
      </c>
      <c r="D15" t="str">
        <f>IFERROR(VLOOKUP(Table9[[#This Row],[SNR]],Deelnemers[#Data],3,0),"")</f>
        <v>Nicky Spengler</v>
      </c>
      <c r="E15" t="str">
        <f>IFERROR(VLOOKUP(Table9[[#This Row],[SNR]],Deelnemers[#Data],4,0),"")</f>
        <v>Jacey</v>
      </c>
      <c r="F15" t="str">
        <f>IFERROR(VLOOKUP(Table9[[#This Row],[SNR]],Deelnemers[#Data],6,0),"")</f>
        <v>Shetland Sheepdog</v>
      </c>
      <c r="G15">
        <v>110</v>
      </c>
      <c r="L15" t="s">
        <v>326</v>
      </c>
      <c r="M15" t="str">
        <f>IF(OR(ISNUMBER(SEARCH("Jumping", $C$5)),ISNUMBER(SEARCH("Vast Parcours", $C$5)), ISNUMBER(SEARCH("NKT", $C$5))),IF(OR(Table9[[#This Row],[Disk]]&gt;0,Table9[[#This Row],[W]]&gt;=3,Table9[[#This Row],[Tijd]]&gt;$F$3),"Disk",IF(ISBLANK(Table9[[#This Row],[Tijd]]),"",Table9[[#This Row],[Fouten]]+MAX(0,Table9[[#This Row],[Tijd]]-$F$2))),"-")</f>
        <v>Disk</v>
      </c>
      <c r="N15">
        <f>IFERROR(PRODUCT($F$4,1/Table9[[#This Row],[Tijd]]),0)</f>
        <v>0</v>
      </c>
      <c r="O15">
        <f>SUM(Table9[[#This Row],[W]],Table9[[#This Row],[A]],Table9[[#This Row],[F]])*5</f>
        <v>0</v>
      </c>
      <c r="P15" t="str">
        <f>TEXT(Table9[[#This Row],[Score]],"00,00")&amp;TEXT(Table9[[#This Row],[Fouten]],"00")&amp;TEXT(Table9[[#This Row],[Tijd]],"00,000")</f>
        <v>Disk0000,000</v>
      </c>
      <c r="Q15" t="str">
        <f>IF(IFERROR(VLOOKUP(Table9[[#This Row],[SNR]],Deelnemers[#Data],7,0),0)&lt;&gt;$C$4,"Loopt niet in deze groep!",IF(COUNTIF(Table9[SNR],Table9[[#This Row],[SNR]])&gt;1,"Dubbel",""))</f>
        <v/>
      </c>
    </row>
    <row r="16" spans="1:17" x14ac:dyDescent="0.2">
      <c r="A16">
        <f>IFERROR(VLOOKUP(Table9[[#This Row],[SNR]],Deelnemers[#Data],2,0),"")</f>
        <v>176990</v>
      </c>
      <c r="B16">
        <f>IF(VLOOKUP(Table9[[#This Row],[SNR]],Deelnemers[#Data],8,0)&gt;0,"BM",IF(Table9[[#This Row],[Score]]="Disk",0,MATCH(Table9[[#This Row],[Sorteren]],Table9[Sorteren],0)-COUNTIF($B$7:$B15,"BM")))</f>
        <v>0</v>
      </c>
      <c r="D16" t="str">
        <f>IFERROR(VLOOKUP(Table9[[#This Row],[SNR]],Deelnemers[#Data],3,0),"")</f>
        <v>Gerda Bleeker-Korte</v>
      </c>
      <c r="E16" t="str">
        <f>IFERROR(VLOOKUP(Table9[[#This Row],[SNR]],Deelnemers[#Data],4,0),"")</f>
        <v>Maisy</v>
      </c>
      <c r="F16" t="str">
        <f>IFERROR(VLOOKUP(Table9[[#This Row],[SNR]],Deelnemers[#Data],6,0),"")</f>
        <v>Shetland Sheepdog</v>
      </c>
      <c r="G16" s="6">
        <v>111</v>
      </c>
      <c r="H16" s="6"/>
      <c r="I16" s="6"/>
      <c r="J16" s="6"/>
      <c r="K16" s="6"/>
      <c r="L16" s="6" t="s">
        <v>326</v>
      </c>
      <c r="M16" t="str">
        <f>IF(OR(ISNUMBER(SEARCH("Jumping", $C$5)),ISNUMBER(SEARCH("Vast Parcours", $C$5)), ISNUMBER(SEARCH("NKT", $C$5))),IF(OR(Table9[[#This Row],[Disk]]&gt;0,Table9[[#This Row],[W]]&gt;=3,Table9[[#This Row],[Tijd]]&gt;$F$3),"Disk",IF(ISBLANK(Table9[[#This Row],[Tijd]]),"",Table9[[#This Row],[Fouten]]+MAX(0,Table9[[#This Row],[Tijd]]-$F$2))),"-")</f>
        <v>Disk</v>
      </c>
      <c r="N16">
        <f>IFERROR(PRODUCT($F$4,1/Table9[[#This Row],[Tijd]]),0)</f>
        <v>0</v>
      </c>
      <c r="O16">
        <f>SUM(Table9[[#This Row],[W]],Table9[[#This Row],[A]],Table9[[#This Row],[F]])*5</f>
        <v>0</v>
      </c>
      <c r="P16" t="str">
        <f>TEXT(Table9[[#This Row],[Score]],"00,00")&amp;TEXT(Table9[[#This Row],[Fouten]],"00")&amp;TEXT(Table9[[#This Row],[Tijd]],"00,000")</f>
        <v>Disk0000,000</v>
      </c>
      <c r="Q16" t="str">
        <f>IF(IFERROR(VLOOKUP(Table9[[#This Row],[SNR]],Deelnemers[#Data],7,0),0)&lt;&gt;$C$4,"Loopt niet in deze groep!",IF(COUNTIF(Table9[SNR],Table9[[#This Row],[SNR]])&gt;1,"Dubbel",""))</f>
        <v/>
      </c>
    </row>
    <row r="17" spans="1:17" x14ac:dyDescent="0.2">
      <c r="A17">
        <f>IFERROR(VLOOKUP(Table9[[#This Row],[SNR]],Deelnemers[#Data],2,0),"")</f>
        <v>175315</v>
      </c>
      <c r="B17">
        <f>IF(VLOOKUP(Table9[[#This Row],[SNR]],Deelnemers[#Data],8,0)&gt;0,"BM",IF(Table9[[#This Row],[Score]]="Disk",0,MATCH(Table9[[#This Row],[Sorteren]],Table9[Sorteren],0)-COUNTIF($B$7:$B16,"BM")))</f>
        <v>0</v>
      </c>
      <c r="D17" t="str">
        <f>IFERROR(VLOOKUP(Table9[[#This Row],[SNR]],Deelnemers[#Data],3,0),"")</f>
        <v>Margreet Osinga-Ijpma</v>
      </c>
      <c r="E17" t="str">
        <f>IFERROR(VLOOKUP(Table9[[#This Row],[SNR]],Deelnemers[#Data],4,0),"")</f>
        <v>Olaf</v>
      </c>
      <c r="F17" t="str">
        <f>IFERROR(VLOOKUP(Table9[[#This Row],[SNR]],Deelnemers[#Data],6,0),"")</f>
        <v>Parson Russell Terriër</v>
      </c>
      <c r="G17" s="6">
        <v>113</v>
      </c>
      <c r="H17" s="6"/>
      <c r="I17" s="6"/>
      <c r="J17" s="6"/>
      <c r="K17" s="6"/>
      <c r="L17" s="6" t="s">
        <v>326</v>
      </c>
      <c r="M17" t="str">
        <f>IF(OR(ISNUMBER(SEARCH("Jumping", $C$5)),ISNUMBER(SEARCH("Vast Parcours", $C$5)), ISNUMBER(SEARCH("NKT", $C$5))),IF(OR(Table9[[#This Row],[Disk]]&gt;0,Table9[[#This Row],[W]]&gt;=3,Table9[[#This Row],[Tijd]]&gt;$F$3),"Disk",IF(ISBLANK(Table9[[#This Row],[Tijd]]),"",Table9[[#This Row],[Fouten]]+MAX(0,Table9[[#This Row],[Tijd]]-$F$2))),"-")</f>
        <v>Disk</v>
      </c>
      <c r="N17">
        <f>IFERROR(PRODUCT($F$4,1/Table9[[#This Row],[Tijd]]),0)</f>
        <v>0</v>
      </c>
      <c r="O17">
        <f>SUM(Table9[[#This Row],[W]],Table9[[#This Row],[A]],Table9[[#This Row],[F]])*5</f>
        <v>0</v>
      </c>
      <c r="P17" t="str">
        <f>TEXT(Table9[[#This Row],[Score]],"00,00")&amp;TEXT(Table9[[#This Row],[Fouten]],"00")&amp;TEXT(Table9[[#This Row],[Tijd]],"00,000")</f>
        <v>Disk0000,000</v>
      </c>
      <c r="Q17" t="str">
        <f>IF(IFERROR(VLOOKUP(Table9[[#This Row],[SNR]],Deelnemers[#Data],7,0),0)&lt;&gt;$C$4,"Loopt niet in deze groep!",IF(COUNTIF(Table9[SNR],Table9[[#This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57" priority="2">
      <formula>LEN(TRIM(F1))=0</formula>
    </cfRule>
  </conditionalFormatting>
  <conditionalFormatting sqref="F2:F4">
    <cfRule type="containsBlanks" dxfId="156" priority="1">
      <formula>LEN(TRIM(F2))=0</formula>
    </cfRule>
  </conditionalFormatting>
  <dataValidations count="2">
    <dataValidation type="list" allowBlank="1" showInputMessage="1" showErrorMessage="1" sqref="C4" xr:uid="{00000000-0002-0000-0900-000000000000}">
      <formula1>GroepLijst</formula1>
    </dataValidation>
    <dataValidation type="list" allowBlank="1" showInputMessage="1" showErrorMessage="1" sqref="F1" xr:uid="{D4C0B679-7C46-F44B-BB36-AEE648D88288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7"/>
  <sheetViews>
    <sheetView zoomScale="92" workbookViewId="0">
      <selection activeCell="G17" sqref="G17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9">
        <v>54</v>
      </c>
      <c r="G2" t="s">
        <v>308</v>
      </c>
      <c r="H2" s="12" t="str">
        <f>$C$4</f>
        <v>1ᵉ graad Small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9">
        <v>84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2</v>
      </c>
      <c r="D4" s="13"/>
      <c r="E4" t="s">
        <v>310</v>
      </c>
      <c r="F4" s="9">
        <v>168</v>
      </c>
      <c r="G4" t="s">
        <v>311</v>
      </c>
      <c r="H4" s="12" t="str">
        <f>$C$5</f>
        <v>Vast Parcours 2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IFERROR(VLOOKUP(Table10[[#This Row],[SNR]],Deelnemers[#Data],2,0),"")</f>
        <v>184314</v>
      </c>
      <c r="B8">
        <f>IF(VLOOKUP(Table10[[#This Row],[SNR]],Deelnemers[#Data],8,0)&gt;0,"BM",IF(Table10[[#This Row],[Score]]="Disk",0,MATCH(Table10[[#This Row],[Sorteren]],Table10[Sorteren],0)-COUNTIF($B$7:$B7,"BM")))</f>
        <v>1</v>
      </c>
      <c r="D8" t="str">
        <f>IFERROR(VLOOKUP(Table10[[#This Row],[SNR]],Deelnemers[#Data],3,0),"")</f>
        <v>Marjanna Bremer</v>
      </c>
      <c r="E8" t="str">
        <f>IFERROR(VLOOKUP(Table10[[#This Row],[SNR]],Deelnemers[#Data],4,0),"")</f>
        <v>Fizzjuh</v>
      </c>
      <c r="F8" t="str">
        <f>IFERROR(VLOOKUP(Table10[[#This Row],[SNR]],Deelnemers[#Data],6,0),"")</f>
        <v>chihuahua mix</v>
      </c>
      <c r="G8" s="9">
        <v>117</v>
      </c>
      <c r="H8" s="9">
        <v>53.9</v>
      </c>
      <c r="I8" s="9"/>
      <c r="J8" s="9"/>
      <c r="K8" s="9"/>
      <c r="L8" s="9"/>
      <c r="M8">
        <f>IF(OR(ISNUMBER(SEARCH("Jumping", $C$5)),ISNUMBER(SEARCH("Vast Parcours", $C$5)), ISNUMBER(SEARCH("NKT", $C$5))),IF(OR(Table10[[#This Row],[Disk]]&gt;0,Table10[[#This Row],[W]]&gt;=3,Table10[[#This Row],[Tijd]]&gt;$F$3),"Disk",IF(ISBLANK(Table10[[#This Row],[Tijd]]),"",Table10[[#This Row],[Fouten]]+MAX(0,Table10[[#This Row],[Tijd]]-$F$2))),"-")</f>
        <v>0</v>
      </c>
      <c r="N8">
        <f>IFERROR(PRODUCT($F$4,1/Table10[[#This Row],[Tijd]]),0)</f>
        <v>3.116883116883117</v>
      </c>
      <c r="O8">
        <f>SUM(Table10[[#This Row],[W]],Table10[[#This Row],[A]],Table10[[#This Row],[F]])*5</f>
        <v>0</v>
      </c>
      <c r="P8" t="str">
        <f>TEXT(Table10[[#This Row],[Score]],"00,00")&amp;TEXT(Table10[[#This Row],[Fouten]],"00")&amp;TEXT(Table10[[#This Row],[Tijd]],"00,000")</f>
        <v>00,000053,900</v>
      </c>
      <c r="Q8" t="str">
        <f>IF(IFERROR(VLOOKUP(Table10[[#This Row],[SNR]],Deelnemers[#Data],7,0),0)&lt;&gt;$C$4,"Loopt niet in deze groep!",IF(COUNTIF(Table10[SNR],Table10[[#This Row],[SNR]])&gt;1,"Dubbel",""))</f>
        <v/>
      </c>
    </row>
    <row r="9" spans="1:17" x14ac:dyDescent="0.2">
      <c r="A9">
        <f>IFERROR(VLOOKUP(Table10[[#This Row],[SNR]],Deelnemers[#Data],2,0),"")</f>
        <v>184101</v>
      </c>
      <c r="B9">
        <f>IF(VLOOKUP(Table10[[#This Row],[SNR]],Deelnemers[#Data],8,0)&gt;0,"BM",IF(Table10[[#This Row],[Score]]="Disk",0,MATCH(Table10[[#This Row],[Sorteren]],Table10[Sorteren],0)-COUNTIF($B$7:$B8,"BM")))</f>
        <v>2</v>
      </c>
      <c r="D9" t="str">
        <f>IFERROR(VLOOKUP(Table10[[#This Row],[SNR]],Deelnemers[#Data],3,0),"")</f>
        <v>Jan Knol</v>
      </c>
      <c r="E9" t="str">
        <f>IFERROR(VLOOKUP(Table10[[#This Row],[SNR]],Deelnemers[#Data],4,0),"")</f>
        <v>Kenzo</v>
      </c>
      <c r="F9" t="str">
        <f>IFERROR(VLOOKUP(Table10[[#This Row],[SNR]],Deelnemers[#Data],6,0),"")</f>
        <v>Cavalier King Charles Spaniël</v>
      </c>
      <c r="G9" s="9">
        <v>118</v>
      </c>
      <c r="H9" s="9">
        <v>44.28</v>
      </c>
      <c r="I9" s="9"/>
      <c r="J9" s="9"/>
      <c r="K9" s="9">
        <v>1</v>
      </c>
      <c r="L9" s="9"/>
      <c r="M9">
        <f>IF(OR(ISNUMBER(SEARCH("Jumping", $C$5)),ISNUMBER(SEARCH("Vast Parcours", $C$5)), ISNUMBER(SEARCH("NKT", $C$5))),IF(OR(Table10[[#This Row],[Disk]]&gt;0,Table10[[#This Row],[W]]&gt;=3,Table10[[#This Row],[Tijd]]&gt;$F$3),"Disk",IF(ISBLANK(Table10[[#This Row],[Tijd]]),"",Table10[[#This Row],[Fouten]]+MAX(0,Table10[[#This Row],[Tijd]]-$F$2))),"-")</f>
        <v>5</v>
      </c>
      <c r="N9">
        <f>IFERROR(PRODUCT($F$4,1/Table10[[#This Row],[Tijd]]),0)</f>
        <v>3.794037940379404</v>
      </c>
      <c r="O9">
        <f>SUM(Table10[[#This Row],[W]],Table10[[#This Row],[A]],Table10[[#This Row],[F]])*5</f>
        <v>5</v>
      </c>
      <c r="P9" t="str">
        <f>TEXT(Table10[[#This Row],[Score]],"00,00")&amp;TEXT(Table10[[#This Row],[Fouten]],"00")&amp;TEXT(Table10[[#This Row],[Tijd]],"00,000")</f>
        <v>05,000544,280</v>
      </c>
      <c r="Q9" t="str">
        <f>IF(IFERROR(VLOOKUP(Table10[[#This Row],[SNR]],Deelnemers[#Data],7,0),0)&lt;&gt;$C$4,"Loopt niet in deze groep!",IF(COUNTIF(Table10[SNR],Table10[[#This Row],[SNR]])&gt;1,"Dubbel",""))</f>
        <v/>
      </c>
    </row>
    <row r="10" spans="1:17" x14ac:dyDescent="0.2">
      <c r="A10">
        <f>IFERROR(VLOOKUP(Table10[[#This Row],[SNR]],Deelnemers[#Data],2,0),"")</f>
        <v>176990</v>
      </c>
      <c r="B10">
        <f>IF(VLOOKUP(Table10[[#This Row],[SNR]],Deelnemers[#Data],8,0)&gt;0,"BM",IF(Table10[[#This Row],[Score]]="Disk",0,MATCH(Table10[[#This Row],[Sorteren]],Table10[Sorteren],0)-COUNTIF($B$7:$B9,"BM")))</f>
        <v>3</v>
      </c>
      <c r="D10" t="str">
        <f>IFERROR(VLOOKUP(Table10[[#This Row],[SNR]],Deelnemers[#Data],3,0),"")</f>
        <v>Gerda Bleeker-Korte</v>
      </c>
      <c r="E10" t="str">
        <f>IFERROR(VLOOKUP(Table10[[#This Row],[SNR]],Deelnemers[#Data],4,0),"")</f>
        <v>Maisy</v>
      </c>
      <c r="F10" t="str">
        <f>IFERROR(VLOOKUP(Table10[[#This Row],[SNR]],Deelnemers[#Data],6,0),"")</f>
        <v>Shetland Sheepdog</v>
      </c>
      <c r="G10" s="9">
        <v>111</v>
      </c>
      <c r="H10" s="9">
        <v>48.82</v>
      </c>
      <c r="I10" s="9">
        <v>1</v>
      </c>
      <c r="J10" s="9"/>
      <c r="K10" s="9"/>
      <c r="L10" s="9"/>
      <c r="M10">
        <f>IF(OR(ISNUMBER(SEARCH("Jumping", $C$5)),ISNUMBER(SEARCH("Vast Parcours", $C$5)), ISNUMBER(SEARCH("NKT", $C$5))),IF(OR(Table10[[#This Row],[Disk]]&gt;0,Table10[[#This Row],[W]]&gt;=3,Table10[[#This Row],[Tijd]]&gt;$F$3),"Disk",IF(ISBLANK(Table10[[#This Row],[Tijd]]),"",Table10[[#This Row],[Fouten]]+MAX(0,Table10[[#This Row],[Tijd]]-$F$2))),"-")</f>
        <v>5</v>
      </c>
      <c r="N10">
        <f>IFERROR(PRODUCT($F$4,1/Table10[[#This Row],[Tijd]]),0)</f>
        <v>3.4412126177795983</v>
      </c>
      <c r="O10">
        <f>SUM(Table10[[#This Row],[W]],Table10[[#This Row],[A]],Table10[[#This Row],[F]])*5</f>
        <v>5</v>
      </c>
      <c r="P10" t="str">
        <f>TEXT(Table10[[#This Row],[Score]],"00,00")&amp;TEXT(Table10[[#This Row],[Fouten]],"00")&amp;TEXT(Table10[[#This Row],[Tijd]],"00,000")</f>
        <v>05,000548,820</v>
      </c>
      <c r="Q10" t="str">
        <f>IF(IFERROR(VLOOKUP(Table10[[#This Row],[SNR]],Deelnemers[#Data],7,0),0)&lt;&gt;$C$4,"Loopt niet in deze groep!",IF(COUNTIF(Table10[SNR],Table10[[#This Row],[SNR]])&gt;1,"Dubbel",""))</f>
        <v/>
      </c>
    </row>
    <row r="11" spans="1:17" x14ac:dyDescent="0.2">
      <c r="A11">
        <f>IFERROR(VLOOKUP(Table10[[#This Row],[SNR]],Deelnemers[#Data],2,0),"")</f>
        <v>184160</v>
      </c>
      <c r="B11">
        <f>IF(VLOOKUP(Table10[[#This Row],[SNR]],Deelnemers[#Data],8,0)&gt;0,"BM",IF(Table10[[#This Row],[Score]]="Disk",0,MATCH(Table10[[#This Row],[Sorteren]],Table10[Sorteren],0)-COUNTIF($B$7:$B10,"BM")))</f>
        <v>4</v>
      </c>
      <c r="D11" t="str">
        <f>IFERROR(VLOOKUP(Table10[[#This Row],[SNR]],Deelnemers[#Data],3,0),"")</f>
        <v>Cathy Rubingh</v>
      </c>
      <c r="E11" t="str">
        <f>IFERROR(VLOOKUP(Table10[[#This Row],[SNR]],Deelnemers[#Data],4,0),"")</f>
        <v>Lilly</v>
      </c>
      <c r="F11" t="str">
        <f>IFERROR(VLOOKUP(Table10[[#This Row],[SNR]],Deelnemers[#Data],6,0),"")</f>
        <v>pomeranian</v>
      </c>
      <c r="G11" s="9">
        <v>112</v>
      </c>
      <c r="H11" s="9">
        <v>52.5</v>
      </c>
      <c r="I11" s="9"/>
      <c r="J11" s="9"/>
      <c r="K11" s="9">
        <v>1</v>
      </c>
      <c r="L11" s="9"/>
      <c r="M11">
        <f>IF(OR(ISNUMBER(SEARCH("Jumping", $C$5)),ISNUMBER(SEARCH("Vast Parcours", $C$5)), ISNUMBER(SEARCH("NKT", $C$5))),IF(OR(Table10[[#This Row],[Disk]]&gt;0,Table10[[#This Row],[W]]&gt;=3,Table10[[#This Row],[Tijd]]&gt;$F$3),"Disk",IF(ISBLANK(Table10[[#This Row],[Tijd]]),"",Table10[[#This Row],[Fouten]]+MAX(0,Table10[[#This Row],[Tijd]]-$F$2))),"-")</f>
        <v>5</v>
      </c>
      <c r="N11">
        <f>IFERROR(PRODUCT($F$4,1/Table10[[#This Row],[Tijd]]),0)</f>
        <v>3.2</v>
      </c>
      <c r="O11">
        <f>SUM(Table10[[#This Row],[W]],Table10[[#This Row],[A]],Table10[[#This Row],[F]])*5</f>
        <v>5</v>
      </c>
      <c r="P11" t="str">
        <f>TEXT(Table10[[#This Row],[Score]],"00,00")&amp;TEXT(Table10[[#This Row],[Fouten]],"00")&amp;TEXT(Table10[[#This Row],[Tijd]],"00,000")</f>
        <v>05,000552,500</v>
      </c>
      <c r="Q11" t="str">
        <f>IF(IFERROR(VLOOKUP(Table10[[#This Row],[SNR]],Deelnemers[#Data],7,0),0)&lt;&gt;$C$4,"Loopt niet in deze groep!",IF(COUNTIF(Table10[SNR],Table10[[#This Row],[SNR]])&gt;1,"Dubbel",""))</f>
        <v/>
      </c>
    </row>
    <row r="12" spans="1:17" x14ac:dyDescent="0.2">
      <c r="A12">
        <f>IFERROR(VLOOKUP(Table10[[#This Row],[SNR]],Deelnemers[#Data],2,0),"")</f>
        <v>165409</v>
      </c>
      <c r="B12">
        <f>IF(VLOOKUP(Table10[[#This Row],[SNR]],Deelnemers[#Data],8,0)&gt;0,"BM",IF(Table10[[#This Row],[Score]]="Disk",0,MATCH(Table10[[#This Row],[Sorteren]],Table10[Sorteren],0)-COUNTIF($B$7:$B11,"BM")))</f>
        <v>5</v>
      </c>
      <c r="D12" t="str">
        <f>IFERROR(VLOOKUP(Table10[[#This Row],[SNR]],Deelnemers[#Data],3,0),"")</f>
        <v>Dimphy Penninkhof</v>
      </c>
      <c r="E12" t="str">
        <f>IFERROR(VLOOKUP(Table10[[#This Row],[SNR]],Deelnemers[#Data],4,0),"")</f>
        <v>Tommy</v>
      </c>
      <c r="F12" t="str">
        <f>IFERROR(VLOOKUP(Table10[[#This Row],[SNR]],Deelnemers[#Data],6,0),"")</f>
        <v>jack russell terrier</v>
      </c>
      <c r="G12" s="9">
        <v>116</v>
      </c>
      <c r="H12" s="9">
        <v>56.9</v>
      </c>
      <c r="I12" s="9"/>
      <c r="J12" s="9"/>
      <c r="K12" s="9">
        <v>1</v>
      </c>
      <c r="L12" s="9"/>
      <c r="M12">
        <f>IF(OR(ISNUMBER(SEARCH("Jumping", $C$5)),ISNUMBER(SEARCH("Vast Parcours", $C$5)), ISNUMBER(SEARCH("NKT", $C$5))),IF(OR(Table10[[#This Row],[Disk]]&gt;0,Table10[[#This Row],[W]]&gt;=3,Table10[[#This Row],[Tijd]]&gt;$F$3),"Disk",IF(ISBLANK(Table10[[#This Row],[Tijd]]),"",Table10[[#This Row],[Fouten]]+MAX(0,Table10[[#This Row],[Tijd]]-$F$2))),"-")</f>
        <v>7.8999999999999986</v>
      </c>
      <c r="N12">
        <f>IFERROR(PRODUCT($F$4,1/Table10[[#This Row],[Tijd]]),0)</f>
        <v>2.9525483304042184</v>
      </c>
      <c r="O12">
        <f>SUM(Table10[[#This Row],[W]],Table10[[#This Row],[A]],Table10[[#This Row],[F]])*5</f>
        <v>5</v>
      </c>
      <c r="P12" t="str">
        <f>TEXT(Table10[[#This Row],[Score]],"00,00")&amp;TEXT(Table10[[#This Row],[Fouten]],"00")&amp;TEXT(Table10[[#This Row],[Tijd]],"00,000")</f>
        <v>07,900556,900</v>
      </c>
      <c r="Q12" t="str">
        <f>IF(IFERROR(VLOOKUP(Table10[[#This Row],[SNR]],Deelnemers[#Data],7,0),0)&lt;&gt;$C$4,"Loopt niet in deze groep!",IF(COUNTIF(Table10[SNR],Table10[[#This Row],[SNR]])&gt;1,"Dubbel",""))</f>
        <v/>
      </c>
    </row>
    <row r="13" spans="1:17" x14ac:dyDescent="0.2">
      <c r="A13">
        <f>IFERROR(VLOOKUP(Table10[[#This Row],[SNR]],Deelnemers[#Data],2,0),"")</f>
        <v>180580</v>
      </c>
      <c r="B13">
        <f>IF(VLOOKUP(Table10[[#This Row],[SNR]],Deelnemers[#Data],8,0)&gt;0,"BM",IF(Table10[[#This Row],[Score]]="Disk",0,MATCH(Table10[[#This Row],[Sorteren]],Table10[Sorteren],0)-COUNTIF($B$7:$B12,"BM")))</f>
        <v>6</v>
      </c>
      <c r="D13" t="str">
        <f>IFERROR(VLOOKUP(Table10[[#This Row],[SNR]],Deelnemers[#Data],3,0),"")</f>
        <v>Rosanne Wemerman</v>
      </c>
      <c r="E13" t="str">
        <f>IFERROR(VLOOKUP(Table10[[#This Row],[SNR]],Deelnemers[#Data],4,0),"")</f>
        <v>Quincy</v>
      </c>
      <c r="F13" t="str">
        <f>IFERROR(VLOOKUP(Table10[[#This Row],[SNR]],Deelnemers[#Data],6,0),"")</f>
        <v>kruising dwergkees chihuahua</v>
      </c>
      <c r="G13" s="9">
        <v>115</v>
      </c>
      <c r="H13" s="9">
        <v>67.86</v>
      </c>
      <c r="I13" s="9">
        <v>2</v>
      </c>
      <c r="J13" s="9"/>
      <c r="K13" s="9">
        <v>1</v>
      </c>
      <c r="L13" s="9"/>
      <c r="M13">
        <f>IF(OR(ISNUMBER(SEARCH("Jumping", $C$5)),ISNUMBER(SEARCH("Vast Parcours", $C$5)), ISNUMBER(SEARCH("NKT", $C$5))),IF(OR(Table10[[#This Row],[Disk]]&gt;0,Table10[[#This Row],[W]]&gt;=3,Table10[[#This Row],[Tijd]]&gt;$F$3),"Disk",IF(ISBLANK(Table10[[#This Row],[Tijd]]),"",Table10[[#This Row],[Fouten]]+MAX(0,Table10[[#This Row],[Tijd]]-$F$2))),"-")</f>
        <v>28.86</v>
      </c>
      <c r="N13">
        <f>IFERROR(PRODUCT($F$4,1/Table10[[#This Row],[Tijd]]),0)</f>
        <v>2.4756852343059239</v>
      </c>
      <c r="O13">
        <f>SUM(Table10[[#This Row],[W]],Table10[[#This Row],[A]],Table10[[#This Row],[F]])*5</f>
        <v>15</v>
      </c>
      <c r="P13" t="str">
        <f>TEXT(Table10[[#This Row],[Score]],"00,00")&amp;TEXT(Table10[[#This Row],[Fouten]],"00")&amp;TEXT(Table10[[#This Row],[Tijd]],"00,000")</f>
        <v>28,861567,860</v>
      </c>
      <c r="Q13" t="str">
        <f>IF(IFERROR(VLOOKUP(Table10[[#This Row],[SNR]],Deelnemers[#Data],7,0),0)&lt;&gt;$C$4,"Loopt niet in deze groep!",IF(COUNTIF(Table10[SNR],Table10[[#This Row],[SNR]])&gt;1,"Dubbel",""))</f>
        <v/>
      </c>
    </row>
    <row r="14" spans="1:17" x14ac:dyDescent="0.2">
      <c r="A14">
        <f>IFERROR(VLOOKUP(Table10[[#This Row],[SNR]],Deelnemers[#Data],2,0),"")</f>
        <v>183210</v>
      </c>
      <c r="B14">
        <f>IF(VLOOKUP(Table10[[#This Row],[SNR]],Deelnemers[#Data],8,0)&gt;0,"BM",IF(Table10[[#This Row],[Score]]="Disk",0,MATCH(Table10[[#This Row],[Sorteren]],Table10[Sorteren],0)-COUNTIF($B$7:$B13,"BM")))</f>
        <v>0</v>
      </c>
      <c r="D14" t="str">
        <f>IFERROR(VLOOKUP(Table10[[#This Row],[SNR]],Deelnemers[#Data],3,0),"")</f>
        <v>Nicky Spengler</v>
      </c>
      <c r="E14" t="str">
        <f>IFERROR(VLOOKUP(Table10[[#This Row],[SNR]],Deelnemers[#Data],4,0),"")</f>
        <v>Jacey</v>
      </c>
      <c r="F14" t="str">
        <f>IFERROR(VLOOKUP(Table10[[#This Row],[SNR]],Deelnemers[#Data],6,0),"")</f>
        <v>Shetland Sheepdog</v>
      </c>
      <c r="G14">
        <v>110</v>
      </c>
      <c r="L14" t="s">
        <v>326</v>
      </c>
      <c r="M14" t="str">
        <f>IF(OR(ISNUMBER(SEARCH("Jumping", $C$5)),ISNUMBER(SEARCH("Vast Parcours", $C$5)), ISNUMBER(SEARCH("NKT", $C$5))),IF(OR(Table10[[#This Row],[Disk]]&gt;0,Table10[[#This Row],[W]]&gt;=3,Table10[[#This Row],[Tijd]]&gt;$F$3),"Disk",IF(ISBLANK(Table10[[#This Row],[Tijd]]),"",Table10[[#This Row],[Fouten]]+MAX(0,Table10[[#This Row],[Tijd]]-$F$2))),"-")</f>
        <v>Disk</v>
      </c>
      <c r="N14">
        <f>IFERROR(PRODUCT($F$4,1/Table10[[#This Row],[Tijd]]),0)</f>
        <v>0</v>
      </c>
      <c r="O14">
        <f>SUM(Table10[[#This Row],[W]],Table10[[#This Row],[A]],Table10[[#This Row],[F]])*5</f>
        <v>0</v>
      </c>
      <c r="P14" t="str">
        <f>TEXT(Table10[[#This Row],[Score]],"00,00")&amp;TEXT(Table10[[#This Row],[Fouten]],"00")&amp;TEXT(Table10[[#This Row],[Tijd]],"00,000")</f>
        <v>Disk0000,000</v>
      </c>
      <c r="Q14" t="str">
        <f>IF(IFERROR(VLOOKUP(Table10[[#This Row],[SNR]],Deelnemers[#Data],7,0),0)&lt;&gt;$C$4,"Loopt niet in deze groep!",IF(COUNTIF(Table10[SNR],Table10[[#This Row],[SNR]])&gt;1,"Dubbel",""))</f>
        <v/>
      </c>
    </row>
    <row r="15" spans="1:17" x14ac:dyDescent="0.2">
      <c r="A15">
        <f>IFERROR(VLOOKUP(Table10[[#This Row],[SNR]],Deelnemers[#Data],2,0),"")</f>
        <v>175315</v>
      </c>
      <c r="B15">
        <f>IF(VLOOKUP(Table10[[#This Row],[SNR]],Deelnemers[#Data],8,0)&gt;0,"BM",IF(Table10[[#This Row],[Score]]="Disk",0,MATCH(Table10[[#This Row],[Sorteren]],Table10[Sorteren],0)-COUNTIF($B$7:$B14,"BM")))</f>
        <v>0</v>
      </c>
      <c r="D15" t="str">
        <f>IFERROR(VLOOKUP(Table10[[#This Row],[SNR]],Deelnemers[#Data],3,0),"")</f>
        <v>Margreet Osinga-Ijpma</v>
      </c>
      <c r="E15" t="str">
        <f>IFERROR(VLOOKUP(Table10[[#This Row],[SNR]],Deelnemers[#Data],4,0),"")</f>
        <v>Olaf</v>
      </c>
      <c r="F15" t="str">
        <f>IFERROR(VLOOKUP(Table10[[#This Row],[SNR]],Deelnemers[#Data],6,0),"")</f>
        <v>Parson Russell Terriër</v>
      </c>
      <c r="G15" s="9">
        <v>113</v>
      </c>
      <c r="H15" s="9"/>
      <c r="I15" s="9"/>
      <c r="J15" s="9"/>
      <c r="K15" s="9"/>
      <c r="L15" s="9" t="s">
        <v>326</v>
      </c>
      <c r="M15" t="str">
        <f>IF(OR(ISNUMBER(SEARCH("Jumping", $C$5)),ISNUMBER(SEARCH("Vast Parcours", $C$5)), ISNUMBER(SEARCH("NKT", $C$5))),IF(OR(Table10[[#This Row],[Disk]]&gt;0,Table10[[#This Row],[W]]&gt;=3,Table10[[#This Row],[Tijd]]&gt;$F$3),"Disk",IF(ISBLANK(Table10[[#This Row],[Tijd]]),"",Table10[[#This Row],[Fouten]]+MAX(0,Table10[[#This Row],[Tijd]]-$F$2))),"-")</f>
        <v>Disk</v>
      </c>
      <c r="N15">
        <f>IFERROR(PRODUCT($F$4,1/Table10[[#This Row],[Tijd]]),0)</f>
        <v>0</v>
      </c>
      <c r="O15">
        <f>SUM(Table10[[#This Row],[W]],Table10[[#This Row],[A]],Table10[[#This Row],[F]])*5</f>
        <v>0</v>
      </c>
      <c r="P15" t="str">
        <f>TEXT(Table10[[#This Row],[Score]],"00,00")&amp;TEXT(Table10[[#This Row],[Fouten]],"00")&amp;TEXT(Table10[[#This Row],[Tijd]],"00,000")</f>
        <v>Disk0000,000</v>
      </c>
      <c r="Q15" t="str">
        <f>IF(IFERROR(VLOOKUP(Table10[[#This Row],[SNR]],Deelnemers[#Data],7,0),0)&lt;&gt;$C$4,"Loopt niet in deze groep!",IF(COUNTIF(Table10[SNR],Table10[[#This Row],[SNR]])&gt;1,"Dubbel",""))</f>
        <v/>
      </c>
    </row>
    <row r="16" spans="1:17" x14ac:dyDescent="0.2">
      <c r="A16">
        <f>IFERROR(VLOOKUP(Table10[[#This Row],[SNR]],Deelnemers[#Data],2,0),"")</f>
        <v>184349</v>
      </c>
      <c r="B16">
        <f>IF(VLOOKUP(Table10[[#This Row],[SNR]],Deelnemers[#Data],8,0)&gt;0,"BM",IF(Table10[[#This Row],[Score]]="Disk",0,MATCH(Table10[[#This Row],[Sorteren]],Table10[Sorteren],0)-COUNTIF($B$7:$B15,"BM")))</f>
        <v>0</v>
      </c>
      <c r="D16" t="str">
        <f>IFERROR(VLOOKUP(Table10[[#This Row],[SNR]],Deelnemers[#Data],3,0),"")</f>
        <v>Amanda Valk</v>
      </c>
      <c r="E16" t="str">
        <f>IFERROR(VLOOKUP(Table10[[#This Row],[SNR]],Deelnemers[#Data],4,0),"")</f>
        <v>Kyra</v>
      </c>
      <c r="F16" t="str">
        <f>IFERROR(VLOOKUP(Table10[[#This Row],[SNR]],Deelnemers[#Data],6,0),"")</f>
        <v>cairn terriër</v>
      </c>
      <c r="G16" s="9">
        <v>119</v>
      </c>
      <c r="H16" s="9"/>
      <c r="I16" s="9"/>
      <c r="J16" s="9"/>
      <c r="K16" s="9"/>
      <c r="L16" s="9" t="s">
        <v>326</v>
      </c>
      <c r="M16" t="str">
        <f>IF(OR(ISNUMBER(SEARCH("Jumping", $C$5)),ISNUMBER(SEARCH("Vast Parcours", $C$5)), ISNUMBER(SEARCH("NKT", $C$5))),IF(OR(Table10[[#This Row],[Disk]]&gt;0,Table10[[#This Row],[W]]&gt;=3,Table10[[#This Row],[Tijd]]&gt;$F$3),"Disk",IF(ISBLANK(Table10[[#This Row],[Tijd]]),"",Table10[[#This Row],[Fouten]]+MAX(0,Table10[[#This Row],[Tijd]]-$F$2))),"-")</f>
        <v>Disk</v>
      </c>
      <c r="N16">
        <f>IFERROR(PRODUCT($F$4,1/Table10[[#This Row],[Tijd]]),0)</f>
        <v>0</v>
      </c>
      <c r="O16">
        <f>SUM(Table10[[#This Row],[W]],Table10[[#This Row],[A]],Table10[[#This Row],[F]])*5</f>
        <v>0</v>
      </c>
      <c r="P16" t="str">
        <f>TEXT(Table10[[#This Row],[Score]],"00,00")&amp;TEXT(Table10[[#This Row],[Fouten]],"00")&amp;TEXT(Table10[[#This Row],[Tijd]],"00,000")</f>
        <v>Disk0000,000</v>
      </c>
      <c r="Q16" t="str">
        <f>IF(IFERROR(VLOOKUP(Table10[[#This Row],[SNR]],Deelnemers[#Data],7,0),0)&lt;&gt;$C$4,"Loopt niet in deze groep!",IF(COUNTIF(Table10[SNR],Table10[[#This Row],[SNR]])&gt;1,"Dubbel",""))</f>
        <v/>
      </c>
    </row>
    <row r="17" spans="1:17" x14ac:dyDescent="0.2">
      <c r="A17">
        <f>IFERROR(VLOOKUP(Table10[[#This Row],[SNR]],Deelnemers[#Data],2,0),"")</f>
        <v>182257</v>
      </c>
      <c r="B17">
        <f>IF(VLOOKUP(Table10[[#This Row],[SNR]],Deelnemers[#Data],8,0)&gt;0,"BM",IF(Table10[[#This Row],[Score]]="Disk",0,MATCH(Table10[[#This Row],[Sorteren]],Table10[Sorteren],0)-COUNTIF($B$7:$B16,"BM")))</f>
        <v>0</v>
      </c>
      <c r="D17" t="str">
        <f>IFERROR(VLOOKUP(Table10[[#This Row],[SNR]],Deelnemers[#Data],3,0),"")</f>
        <v>Claudia Engelen</v>
      </c>
      <c r="E17" t="str">
        <f>IFERROR(VLOOKUP(Table10[[#This Row],[SNR]],Deelnemers[#Data],4,0),"")</f>
        <v>Sep</v>
      </c>
      <c r="F17" t="str">
        <f>IFERROR(VLOOKUP(Table10[[#This Row],[SNR]],Deelnemers[#Data],6,0),"")</f>
        <v>dwergpoedel</v>
      </c>
      <c r="G17" s="9">
        <v>120</v>
      </c>
      <c r="H17" s="9"/>
      <c r="I17" s="9"/>
      <c r="J17" s="9"/>
      <c r="K17" s="9"/>
      <c r="L17" s="9" t="s">
        <v>326</v>
      </c>
      <c r="M17" t="str">
        <f>IF(OR(ISNUMBER(SEARCH("Jumping", $C$5)),ISNUMBER(SEARCH("Vast Parcours", $C$5)), ISNUMBER(SEARCH("NKT", $C$5))),IF(OR(Table10[[#This Row],[Disk]]&gt;0,Table10[[#This Row],[W]]&gt;=3,Table10[[#This Row],[Tijd]]&gt;$F$3),"Disk",IF(ISBLANK(Table10[[#This Row],[Tijd]]),"",Table10[[#This Row],[Fouten]]+MAX(0,Table10[[#This Row],[Tijd]]-$F$2))),"-")</f>
        <v>Disk</v>
      </c>
      <c r="N17">
        <f>IFERROR(PRODUCT($F$4,1/Table10[[#This Row],[Tijd]]),0)</f>
        <v>0</v>
      </c>
      <c r="O17">
        <f>SUM(Table10[[#This Row],[W]],Table10[[#This Row],[A]],Table10[[#This Row],[F]])*5</f>
        <v>0</v>
      </c>
      <c r="P17" t="str">
        <f>TEXT(Table10[[#This Row],[Score]],"00,00")&amp;TEXT(Table10[[#This Row],[Fouten]],"00")&amp;TEXT(Table10[[#This Row],[Tijd]],"00,000")</f>
        <v>Disk0000,000</v>
      </c>
      <c r="Q17" t="str">
        <f>IF(IFERROR(VLOOKUP(Table10[[#This Row],[SNR]],Deelnemers[#Data],7,0),0)&lt;&gt;$C$4,"Loopt niet in deze groep!",IF(COUNTIF(Table10[SNR],Table10[[#This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49" priority="2">
      <formula>LEN(TRIM(F1))=0</formula>
    </cfRule>
  </conditionalFormatting>
  <conditionalFormatting sqref="F2:F4">
    <cfRule type="containsBlanks" dxfId="148" priority="1">
      <formula>LEN(TRIM(F2))=0</formula>
    </cfRule>
  </conditionalFormatting>
  <dataValidations count="2">
    <dataValidation type="list" allowBlank="1" showInputMessage="1" showErrorMessage="1" sqref="C4" xr:uid="{00000000-0002-0000-0A00-000000000000}">
      <formula1>GroepLijst</formula1>
    </dataValidation>
    <dataValidation type="list" allowBlank="1" showInputMessage="1" showErrorMessage="1" sqref="F1" xr:uid="{686349F9-DD91-C84F-B4CA-6C9702AD918E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4"/>
  <sheetViews>
    <sheetView topLeftCell="A4" zoomScale="116" workbookViewId="0">
      <selection activeCell="D14" sqref="D14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9">
        <v>38</v>
      </c>
      <c r="G2" t="s">
        <v>308</v>
      </c>
      <c r="H2" s="12" t="str">
        <f>$C$4</f>
        <v>2ᵉ graad Large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9">
        <v>65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3</v>
      </c>
      <c r="D4" s="13"/>
      <c r="E4" t="s">
        <v>310</v>
      </c>
      <c r="F4" s="9">
        <v>141</v>
      </c>
      <c r="G4" t="s">
        <v>311</v>
      </c>
      <c r="H4" s="12" t="str">
        <f>$C$5</f>
        <v>Jumping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305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IFERROR(VLOOKUP(Table11[[#This Row],[SNR]],Deelnemers[#Data],2,0),"")</f>
        <v>170542</v>
      </c>
      <c r="B8">
        <f>IF(VLOOKUP(Table11[[#This Row],[SNR]],Deelnemers[#Data],8,0)&gt;0,"BM",IF(Table11[[#This Row],[Score]]="Disk",0,MATCH(Table11[[#This Row],[Sorteren]],Table11[Sorteren],0)-COUNTIF($B$7:$B7,"BM")))</f>
        <v>1</v>
      </c>
      <c r="D8" t="str">
        <f>IFERROR(VLOOKUP(Table11[[#This Row],[SNR]],Deelnemers[#Data],3,0),"")</f>
        <v>Gert Meerholz</v>
      </c>
      <c r="E8" t="str">
        <f>IFERROR(VLOOKUP(Table11[[#This Row],[SNR]],Deelnemers[#Data],4,0),"")</f>
        <v>Kika</v>
      </c>
      <c r="F8" t="str">
        <f>IFERROR(VLOOKUP(Table11[[#This Row],[SNR]],Deelnemers[#Data],6,0),"")</f>
        <v>Belgische Herdershond, Groenendaeler</v>
      </c>
      <c r="G8" s="10">
        <v>54</v>
      </c>
      <c r="H8" s="10">
        <v>29.06</v>
      </c>
      <c r="I8" s="10"/>
      <c r="J8" s="10"/>
      <c r="K8" s="10"/>
      <c r="L8" s="10"/>
      <c r="M8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0</v>
      </c>
      <c r="N8">
        <f>IFERROR(PRODUCT($F$4,1/Table11[[#This Row],[Tijd]]),0)</f>
        <v>4.8520302821748107</v>
      </c>
      <c r="O8">
        <f>SUM(Table11[[#This Row],[W]],Table11[[#This Row],[A]],Table11[[#This Row],[F]])*5</f>
        <v>0</v>
      </c>
      <c r="P8" t="str">
        <f>TEXT(Table11[[#This Row],[Score]],"00,00")&amp;TEXT(Table11[[#This Row],[Fouten]],"00")&amp;TEXT(Table11[[#This Row],[Tijd]],"00,000")</f>
        <v>00,000029,060</v>
      </c>
      <c r="Q8" t="str">
        <f>IF(IFERROR(VLOOKUP(Table11[[#This Row],[SNR]],Deelnemers[#Data],7,0),0)&lt;&gt;$C$4,"Loopt niet in deze groep!",IF(COUNTIF(Table11[SNR],Table11[[#This Row],[SNR]])&gt;1,"Dubbel",""))</f>
        <v/>
      </c>
    </row>
    <row r="9" spans="1:17" x14ac:dyDescent="0.2">
      <c r="A9">
        <f>IFERROR(VLOOKUP(Table11[[#This Row],[SNR]],Deelnemers[#Data],2,0),"")</f>
        <v>150770</v>
      </c>
      <c r="B9">
        <f>IF(VLOOKUP(Table11[[#This Row],[SNR]],Deelnemers[#Data],8,0)&gt;0,"BM",IF(Table11[[#This Row],[Score]]="Disk",0,MATCH(Table11[[#This Row],[Sorteren]],Table11[Sorteren],0)-COUNTIF($B$7:$B8,"BM")))</f>
        <v>2</v>
      </c>
      <c r="D9" t="str">
        <f>IFERROR(VLOOKUP(Table11[[#This Row],[SNR]],Deelnemers[#Data],3,0),"")</f>
        <v>Ellen Overtoom</v>
      </c>
      <c r="E9" t="str">
        <f>IFERROR(VLOOKUP(Table11[[#This Row],[SNR]],Deelnemers[#Data],4,0),"")</f>
        <v>Yindi</v>
      </c>
      <c r="F9" t="str">
        <f>IFERROR(VLOOKUP(Table11[[#This Row],[SNR]],Deelnemers[#Data],6,0),"")</f>
        <v>Border Collie</v>
      </c>
      <c r="G9" s="10">
        <v>49</v>
      </c>
      <c r="H9" s="10">
        <v>29.19</v>
      </c>
      <c r="I9" s="10"/>
      <c r="J9" s="10"/>
      <c r="K9" s="10"/>
      <c r="L9" s="10"/>
      <c r="M9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0</v>
      </c>
      <c r="N9">
        <f>IFERROR(PRODUCT($F$4,1/Table11[[#This Row],[Tijd]]),0)</f>
        <v>4.830421377183967</v>
      </c>
      <c r="O9">
        <f>SUM(Table11[[#This Row],[W]],Table11[[#This Row],[A]],Table11[[#This Row],[F]])*5</f>
        <v>0</v>
      </c>
      <c r="P9" t="str">
        <f>TEXT(Table11[[#This Row],[Score]],"00,00")&amp;TEXT(Table11[[#This Row],[Fouten]],"00")&amp;TEXT(Table11[[#This Row],[Tijd]],"00,000")</f>
        <v>00,000029,190</v>
      </c>
      <c r="Q9" t="str">
        <f>IF(IFERROR(VLOOKUP(Table11[[#This Row],[SNR]],Deelnemers[#Data],7,0),0)&lt;&gt;$C$4,"Loopt niet in deze groep!",IF(COUNTIF(Table11[SNR],Table11[[#This Row],[SNR]])&gt;1,"Dubbel",""))</f>
        <v/>
      </c>
    </row>
    <row r="10" spans="1:17" x14ac:dyDescent="0.2">
      <c r="A10">
        <f>IFERROR(VLOOKUP(Table11[[#This Row],[SNR]],Deelnemers[#Data],2,0),"")</f>
        <v>144371</v>
      </c>
      <c r="B10">
        <f>IF(VLOOKUP(Table11[[#This Row],[SNR]],Deelnemers[#Data],8,0)&gt;0,"BM",IF(Table11[[#This Row],[Score]]="Disk",0,MATCH(Table11[[#This Row],[Sorteren]],Table11[Sorteren],0)-COUNTIF($B$7:$B9,"BM")))</f>
        <v>3</v>
      </c>
      <c r="D10" t="str">
        <f>IFERROR(VLOOKUP(Table11[[#This Row],[SNR]],Deelnemers[#Data],3,0),"")</f>
        <v>Thea van Niekerk</v>
      </c>
      <c r="E10" t="str">
        <f>IFERROR(VLOOKUP(Table11[[#This Row],[SNR]],Deelnemers[#Data],4,0),"")</f>
        <v>Pella</v>
      </c>
      <c r="F10" t="str">
        <f>IFERROR(VLOOKUP(Table11[[#This Row],[SNR]],Deelnemers[#Data],6,0),"")</f>
        <v>Belgische Herdershond, Groenendaeler</v>
      </c>
      <c r="G10" s="10">
        <v>55</v>
      </c>
      <c r="H10" s="10">
        <v>29.92</v>
      </c>
      <c r="I10" s="10"/>
      <c r="J10" s="10"/>
      <c r="K10" s="10"/>
      <c r="L10" s="10"/>
      <c r="M10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0</v>
      </c>
      <c r="N10">
        <f>IFERROR(PRODUCT($F$4,1/Table11[[#This Row],[Tijd]]),0)</f>
        <v>4.7125668449197855</v>
      </c>
      <c r="O10">
        <f>SUM(Table11[[#This Row],[W]],Table11[[#This Row],[A]],Table11[[#This Row],[F]])*5</f>
        <v>0</v>
      </c>
      <c r="P10" t="str">
        <f>TEXT(Table11[[#This Row],[Score]],"00,00")&amp;TEXT(Table11[[#This Row],[Fouten]],"00")&amp;TEXT(Table11[[#This Row],[Tijd]],"00,000")</f>
        <v>00,000029,920</v>
      </c>
      <c r="Q10" t="str">
        <f>IF(IFERROR(VLOOKUP(Table11[[#This Row],[SNR]],Deelnemers[#Data],7,0),0)&lt;&gt;$C$4,"Loopt niet in deze groep!",IF(COUNTIF(Table11[SNR],Table11[[#This Row],[SNR]])&gt;1,"Dubbel",""))</f>
        <v/>
      </c>
    </row>
    <row r="11" spans="1:17" x14ac:dyDescent="0.2">
      <c r="A11">
        <f>IFERROR(VLOOKUP(Table11[[#This Row],[SNR]],Deelnemers[#Data],2,0),"")</f>
        <v>176702</v>
      </c>
      <c r="B11">
        <f>IF(VLOOKUP(Table11[[#This Row],[SNR]],Deelnemers[#Data],8,0)&gt;0,"BM",IF(Table11[[#This Row],[Score]]="Disk",0,MATCH(Table11[[#This Row],[Sorteren]],Table11[Sorteren],0)-COUNTIF($B$7:$B10,"BM")))</f>
        <v>4</v>
      </c>
      <c r="D11" t="str">
        <f>IFERROR(VLOOKUP(Table11[[#This Row],[SNR]],Deelnemers[#Data],3,0),"")</f>
        <v>Geertje Jalving</v>
      </c>
      <c r="E11" t="str">
        <f>IFERROR(VLOOKUP(Table11[[#This Row],[SNR]],Deelnemers[#Data],4,0),"")</f>
        <v>Diva</v>
      </c>
      <c r="F11" t="str">
        <f>IFERROR(VLOOKUP(Table11[[#This Row],[SNR]],Deelnemers[#Data],6,0),"")</f>
        <v>miniature american shepherd</v>
      </c>
      <c r="G11" s="10">
        <v>33</v>
      </c>
      <c r="H11" s="10">
        <v>31.87</v>
      </c>
      <c r="I11" s="10"/>
      <c r="J11" s="10"/>
      <c r="K11" s="10"/>
      <c r="L11" s="10"/>
      <c r="M11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0</v>
      </c>
      <c r="N11">
        <f>IFERROR(PRODUCT($F$4,1/Table11[[#This Row],[Tijd]]),0)</f>
        <v>4.424223407593348</v>
      </c>
      <c r="O11">
        <f>SUM(Table11[[#This Row],[W]],Table11[[#This Row],[A]],Table11[[#This Row],[F]])*5</f>
        <v>0</v>
      </c>
      <c r="P11" t="str">
        <f>TEXT(Table11[[#This Row],[Score]],"00,00")&amp;TEXT(Table11[[#This Row],[Fouten]],"00")&amp;TEXT(Table11[[#This Row],[Tijd]],"00,000")</f>
        <v>00,000031,870</v>
      </c>
      <c r="Q11" t="str">
        <f>IF(IFERROR(VLOOKUP(Table11[[#This Row],[SNR]],Deelnemers[#Data],7,0),0)&lt;&gt;$C$4,"Loopt niet in deze groep!",IF(COUNTIF(Table11[SNR],Table11[[#This Row],[SNR]])&gt;1,"Dubbel",""))</f>
        <v/>
      </c>
    </row>
    <row r="12" spans="1:17" x14ac:dyDescent="0.2">
      <c r="A12">
        <f>IFERROR(VLOOKUP(Table11[[#This Row],[SNR]],Deelnemers[#Data],2,0),"")</f>
        <v>415396</v>
      </c>
      <c r="B12">
        <f>IF(VLOOKUP(Table11[[#This Row],[SNR]],Deelnemers[#Data],8,0)&gt;0,"BM",IF(Table11[[#This Row],[Score]]="Disk",0,MATCH(Table11[[#This Row],[Sorteren]],Table11[Sorteren],0)-COUNTIF($B$7:$B11,"BM")))</f>
        <v>5</v>
      </c>
      <c r="D12" t="str">
        <f>IFERROR(VLOOKUP(Table11[[#This Row],[SNR]],Deelnemers[#Data],3,0),"")</f>
        <v>Erik Stoeten</v>
      </c>
      <c r="E12" t="str">
        <f>IFERROR(VLOOKUP(Table11[[#This Row],[SNR]],Deelnemers[#Data],4,0),"")</f>
        <v>Chu´a</v>
      </c>
      <c r="F12" t="str">
        <f>IFERROR(VLOOKUP(Table11[[#This Row],[SNR]],Deelnemers[#Data],6,0),"")</f>
        <v>Border Collie</v>
      </c>
      <c r="G12" s="10">
        <v>40</v>
      </c>
      <c r="H12" s="10">
        <v>32.21</v>
      </c>
      <c r="I12" s="10"/>
      <c r="J12" s="10"/>
      <c r="K12" s="10"/>
      <c r="L12" s="10"/>
      <c r="M12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0</v>
      </c>
      <c r="N12">
        <f>IFERROR(PRODUCT($F$4,1/Table11[[#This Row],[Tijd]]),0)</f>
        <v>4.3775225085377212</v>
      </c>
      <c r="O12">
        <f>SUM(Table11[[#This Row],[W]],Table11[[#This Row],[A]],Table11[[#This Row],[F]])*5</f>
        <v>0</v>
      </c>
      <c r="P12" t="str">
        <f>TEXT(Table11[[#This Row],[Score]],"00,00")&amp;TEXT(Table11[[#This Row],[Fouten]],"00")&amp;TEXT(Table11[[#This Row],[Tijd]],"00,000")</f>
        <v>00,000032,210</v>
      </c>
      <c r="Q12" t="str">
        <f>IF(IFERROR(VLOOKUP(Table11[[#This Row],[SNR]],Deelnemers[#Data],7,0),0)&lt;&gt;$C$4,"Loopt niet in deze groep!",IF(COUNTIF(Table11[SNR],Table11[[#This Row],[SNR]])&gt;1,"Dubbel",""))</f>
        <v/>
      </c>
    </row>
    <row r="13" spans="1:17" x14ac:dyDescent="0.2">
      <c r="A13">
        <f>IFERROR(VLOOKUP(Table11[[#This Row],[SNR]],Deelnemers[#Data],2,0),"")</f>
        <v>170739</v>
      </c>
      <c r="B13">
        <f>IF(VLOOKUP(Table11[[#This Row],[SNR]],Deelnemers[#Data],8,0)&gt;0,"BM",IF(Table11[[#This Row],[Score]]="Disk",0,MATCH(Table11[[#This Row],[Sorteren]],Table11[Sorteren],0)-COUNTIF($B$7:$B12,"BM")))</f>
        <v>6</v>
      </c>
      <c r="D13" t="str">
        <f>IFERROR(VLOOKUP(Table11[[#This Row],[SNR]],Deelnemers[#Data],3,0),"")</f>
        <v>Lorena Speksnijder</v>
      </c>
      <c r="E13" t="str">
        <f>IFERROR(VLOOKUP(Table11[[#This Row],[SNR]],Deelnemers[#Data],4,0),"")</f>
        <v>Sam</v>
      </c>
      <c r="F13" t="str">
        <f>IFERROR(VLOOKUP(Table11[[#This Row],[SNR]],Deelnemers[#Data],6,0),"")</f>
        <v>kruising border collie x sheltie</v>
      </c>
      <c r="G13" s="10">
        <v>35</v>
      </c>
      <c r="H13" s="10">
        <v>35.57</v>
      </c>
      <c r="I13" s="10"/>
      <c r="J13" s="10"/>
      <c r="K13" s="10"/>
      <c r="L13" s="10"/>
      <c r="M13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0</v>
      </c>
      <c r="N13">
        <f>IFERROR(PRODUCT($F$4,1/Table11[[#This Row],[Tijd]]),0)</f>
        <v>3.9640146190610062</v>
      </c>
      <c r="O13">
        <f>SUM(Table11[[#This Row],[W]],Table11[[#This Row],[A]],Table11[[#This Row],[F]])*5</f>
        <v>0</v>
      </c>
      <c r="P13" t="str">
        <f>TEXT(Table11[[#This Row],[Score]],"00,00")&amp;TEXT(Table11[[#This Row],[Fouten]],"00")&amp;TEXT(Table11[[#This Row],[Tijd]],"00,000")</f>
        <v>00,000035,570</v>
      </c>
      <c r="Q13" t="str">
        <f>IF(IFERROR(VLOOKUP(Table11[[#This Row],[SNR]],Deelnemers[#Data],7,0),0)&lt;&gt;$C$4,"Loopt niet in deze groep!",IF(COUNTIF(Table11[SNR],Table11[[#This Row],[SNR]])&gt;1,"Dubbel",""))</f>
        <v/>
      </c>
    </row>
    <row r="14" spans="1:17" x14ac:dyDescent="0.2">
      <c r="A14">
        <f>IFERROR(VLOOKUP(Table11[[#This Row],[SNR]],Deelnemers[#Data],2,0),"")</f>
        <v>163686</v>
      </c>
      <c r="B14">
        <f>IF(VLOOKUP(Table11[[#This Row],[SNR]],Deelnemers[#Data],8,0)&gt;0,"BM",IF(Table11[[#This Row],[Score]]="Disk",0,MATCH(Table11[[#This Row],[Sorteren]],Table11[Sorteren],0)-COUNTIF($B$7:$B13,"BM")))</f>
        <v>7</v>
      </c>
      <c r="D14" t="str">
        <f>IFERROR(VLOOKUP(Table11[[#This Row],[SNR]],Deelnemers[#Data],3,0),"")</f>
        <v>Melanie Freriksen</v>
      </c>
      <c r="E14" t="str">
        <f>IFERROR(VLOOKUP(Table11[[#This Row],[SNR]],Deelnemers[#Data],4,0),"")</f>
        <v>Woezel</v>
      </c>
      <c r="F14" t="str">
        <f>IFERROR(VLOOKUP(Table11[[#This Row],[SNR]],Deelnemers[#Data],6,0),"")</f>
        <v>Amerikaanse Staffordshire Terriër</v>
      </c>
      <c r="G14" s="10">
        <v>61</v>
      </c>
      <c r="H14" s="10">
        <v>36.369999999999997</v>
      </c>
      <c r="I14" s="10"/>
      <c r="J14" s="10"/>
      <c r="K14" s="10"/>
      <c r="L14" s="10"/>
      <c r="M14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0</v>
      </c>
      <c r="N14">
        <f>IFERROR(PRODUCT($F$4,1/Table11[[#This Row],[Tijd]]),0)</f>
        <v>3.8768215562276604</v>
      </c>
      <c r="O14">
        <f>SUM(Table11[[#This Row],[W]],Table11[[#This Row],[A]],Table11[[#This Row],[F]])*5</f>
        <v>0</v>
      </c>
      <c r="P14" t="str">
        <f>TEXT(Table11[[#This Row],[Score]],"00,00")&amp;TEXT(Table11[[#This Row],[Fouten]],"00")&amp;TEXT(Table11[[#This Row],[Tijd]],"00,000")</f>
        <v>00,000036,370</v>
      </c>
      <c r="Q14" t="str">
        <f>IF(IFERROR(VLOOKUP(Table11[[#This Row],[SNR]],Deelnemers[#Data],7,0),0)&lt;&gt;$C$4,"Loopt niet in deze groep!",IF(COUNTIF(Table11[SNR],Table11[[#This Row],[SNR]])&gt;1,"Dubbel",""))</f>
        <v/>
      </c>
    </row>
    <row r="15" spans="1:17" x14ac:dyDescent="0.2">
      <c r="A15">
        <f>IFERROR(VLOOKUP(Table11[[#This Row],[SNR]],Deelnemers[#Data],2,0),"")</f>
        <v>155780</v>
      </c>
      <c r="B15">
        <f>IF(VLOOKUP(Table11[[#This Row],[SNR]],Deelnemers[#Data],8,0)&gt;0,"BM",IF(Table11[[#This Row],[Score]]="Disk",0,MATCH(Table11[[#This Row],[Sorteren]],Table11[Sorteren],0)-COUNTIF($B$7:$B14,"BM")))</f>
        <v>8</v>
      </c>
      <c r="D15" t="str">
        <f>IFERROR(VLOOKUP(Table11[[#This Row],[SNR]],Deelnemers[#Data],3,0),"")</f>
        <v>Caitlin van Zaanen</v>
      </c>
      <c r="E15" t="str">
        <f>IFERROR(VLOOKUP(Table11[[#This Row],[SNR]],Deelnemers[#Data],4,0),"")</f>
        <v>Chanti</v>
      </c>
      <c r="F15" t="str">
        <f>IFERROR(VLOOKUP(Table11[[#This Row],[SNR]],Deelnemers[#Data],6,0),"")</f>
        <v>Hovawart</v>
      </c>
      <c r="G15" s="10">
        <v>36</v>
      </c>
      <c r="H15" s="10">
        <v>38.15</v>
      </c>
      <c r="I15" s="10"/>
      <c r="J15" s="10"/>
      <c r="K15" s="10"/>
      <c r="L15" s="10"/>
      <c r="M15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0.14999999999999858</v>
      </c>
      <c r="N15">
        <f>IFERROR(PRODUCT($F$4,1/Table11[[#This Row],[Tijd]]),0)</f>
        <v>3.6959370904325035</v>
      </c>
      <c r="O15">
        <f>SUM(Table11[[#This Row],[W]],Table11[[#This Row],[A]],Table11[[#This Row],[F]])*5</f>
        <v>0</v>
      </c>
      <c r="P15" t="str">
        <f>TEXT(Table11[[#This Row],[Score]],"00,00")&amp;TEXT(Table11[[#This Row],[Fouten]],"00")&amp;TEXT(Table11[[#This Row],[Tijd]],"00,000")</f>
        <v>00,150038,150</v>
      </c>
      <c r="Q15" t="str">
        <f>IF(IFERROR(VLOOKUP(Table11[[#This Row],[SNR]],Deelnemers[#Data],7,0),0)&lt;&gt;$C$4,"Loopt niet in deze groep!",IF(COUNTIF(Table11[SNR],Table11[[#This Row],[SNR]])&gt;1,"Dubbel",""))</f>
        <v/>
      </c>
    </row>
    <row r="16" spans="1:17" x14ac:dyDescent="0.2">
      <c r="A16">
        <f>IFERROR(VLOOKUP(Table11[[#This Row],[SNR]],Deelnemers[#Data],2,0),"")</f>
        <v>141216</v>
      </c>
      <c r="B16">
        <f>IF(VLOOKUP(Table11[[#This Row],[SNR]],Deelnemers[#Data],8,0)&gt;0,"BM",IF(Table11[[#This Row],[Score]]="Disk",0,MATCH(Table11[[#This Row],[Sorteren]],Table11[Sorteren],0)-COUNTIF($B$7:$B15,"BM")))</f>
        <v>9</v>
      </c>
      <c r="D16" t="str">
        <f>IFERROR(VLOOKUP(Table11[[#This Row],[SNR]],Deelnemers[#Data],3,0),"")</f>
        <v>Kim Pouls</v>
      </c>
      <c r="E16" t="str">
        <f>IFERROR(VLOOKUP(Table11[[#This Row],[SNR]],Deelnemers[#Data],4,0),"")</f>
        <v>Djazzy</v>
      </c>
      <c r="F16" t="str">
        <f>IFERROR(VLOOKUP(Table11[[#This Row],[SNR]],Deelnemers[#Data],6,0),"")</f>
        <v>Belgische Herdershond, Groenendaeler</v>
      </c>
      <c r="G16" s="10">
        <v>53</v>
      </c>
      <c r="H16" s="10">
        <v>38.29</v>
      </c>
      <c r="I16" s="10"/>
      <c r="J16" s="10"/>
      <c r="K16" s="10"/>
      <c r="L16" s="10"/>
      <c r="M16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0.28999999999999915</v>
      </c>
      <c r="N16">
        <f>IFERROR(PRODUCT($F$4,1/Table11[[#This Row],[Tijd]]),0)</f>
        <v>3.6824236092974667</v>
      </c>
      <c r="O16">
        <f>SUM(Table11[[#This Row],[W]],Table11[[#This Row],[A]],Table11[[#This Row],[F]])*5</f>
        <v>0</v>
      </c>
      <c r="P16" t="str">
        <f>TEXT(Table11[[#This Row],[Score]],"00,00")&amp;TEXT(Table11[[#This Row],[Fouten]],"00")&amp;TEXT(Table11[[#This Row],[Tijd]],"00,000")</f>
        <v>00,290038,290</v>
      </c>
      <c r="Q16" t="str">
        <f>IF(IFERROR(VLOOKUP(Table11[[#This Row],[SNR]],Deelnemers[#Data],7,0),0)&lt;&gt;$C$4,"Loopt niet in deze groep!",IF(COUNTIF(Table11[SNR],Table11[[#This Row],[SNR]])&gt;1,"Dubbel",""))</f>
        <v/>
      </c>
    </row>
    <row r="17" spans="1:17" x14ac:dyDescent="0.2">
      <c r="A17">
        <f>IFERROR(VLOOKUP(Table11[[#This Row],[SNR]],Deelnemers[#Data],2,0),"")</f>
        <v>403676</v>
      </c>
      <c r="B17">
        <f>IF(VLOOKUP(Table11[[#This Row],[SNR]],Deelnemers[#Data],8,0)&gt;0,"BM",IF(Table11[[#This Row],[Score]]="Disk",0,MATCH(Table11[[#This Row],[Sorteren]],Table11[Sorteren],0)-COUNTIF($B$7:$B16,"BM")))</f>
        <v>10</v>
      </c>
      <c r="D17" t="str">
        <f>IFERROR(VLOOKUP(Table11[[#This Row],[SNR]],Deelnemers[#Data],3,0),"")</f>
        <v>José Bijleveld-Zwiers</v>
      </c>
      <c r="E17" t="str">
        <f>IFERROR(VLOOKUP(Table11[[#This Row],[SNR]],Deelnemers[#Data],4,0),"")</f>
        <v>Shiva</v>
      </c>
      <c r="F17" t="str">
        <f>IFERROR(VLOOKUP(Table11[[#This Row],[SNR]],Deelnemers[#Data],6,0),"")</f>
        <v>Schotse Herdershond, Langhaar</v>
      </c>
      <c r="G17">
        <v>31</v>
      </c>
      <c r="H17">
        <v>41.28</v>
      </c>
      <c r="M17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3.2800000000000011</v>
      </c>
      <c r="N17">
        <f>IFERROR(PRODUCT($F$4,1/Table11[[#This Row],[Tijd]]),0)</f>
        <v>3.4156976744186043</v>
      </c>
      <c r="O17">
        <f>SUM(Table11[[#This Row],[W]],Table11[[#This Row],[A]],Table11[[#This Row],[F]])*5</f>
        <v>0</v>
      </c>
      <c r="P17" t="str">
        <f>TEXT(Table11[[#This Row],[Score]],"00,00")&amp;TEXT(Table11[[#This Row],[Fouten]],"00")&amp;TEXT(Table11[[#This Row],[Tijd]],"00,000")</f>
        <v>03,280041,280</v>
      </c>
      <c r="Q17" t="str">
        <f>IF(IFERROR(VLOOKUP(Table11[[#This Row],[SNR]],Deelnemers[#Data],7,0),0)&lt;&gt;$C$4,"Loopt niet in deze groep!",IF(COUNTIF(Table11[SNR],Table11[[#This Row],[SNR]])&gt;1,"Dubbel",""))</f>
        <v/>
      </c>
    </row>
    <row r="18" spans="1:17" x14ac:dyDescent="0.2">
      <c r="A18">
        <f>IFERROR(VLOOKUP(Table11[[#This Row],[SNR]],Deelnemers[#Data],2,0),"")</f>
        <v>174386</v>
      </c>
      <c r="B18">
        <f>IF(VLOOKUP(Table11[[#This Row],[SNR]],Deelnemers[#Data],8,0)&gt;0,"BM",IF(Table11[[#This Row],[Score]]="Disk",0,MATCH(Table11[[#This Row],[Sorteren]],Table11[Sorteren],0)-COUNTIF($B$7:$B17,"BM")))</f>
        <v>11</v>
      </c>
      <c r="D18" t="str">
        <f>IFERROR(VLOOKUP(Table11[[#This Row],[SNR]],Deelnemers[#Data],3,0),"")</f>
        <v>Andre Fiks</v>
      </c>
      <c r="E18" t="str">
        <f>IFERROR(VLOOKUP(Table11[[#This Row],[SNR]],Deelnemers[#Data],4,0),"")</f>
        <v>Jikke</v>
      </c>
      <c r="F18" t="str">
        <f>IFERROR(VLOOKUP(Table11[[#This Row],[SNR]],Deelnemers[#Data],6,0),"")</f>
        <v>Belgische Herdershond, Groenendaeler</v>
      </c>
      <c r="G18" s="10">
        <v>56</v>
      </c>
      <c r="H18" s="10">
        <v>28.68</v>
      </c>
      <c r="I18" s="10"/>
      <c r="J18" s="10"/>
      <c r="K18" s="10">
        <v>1</v>
      </c>
      <c r="L18" s="10"/>
      <c r="M18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5</v>
      </c>
      <c r="N18">
        <f>IFERROR(PRODUCT($F$4,1/Table11[[#This Row],[Tijd]]),0)</f>
        <v>4.9163179916317992</v>
      </c>
      <c r="O18">
        <f>SUM(Table11[[#This Row],[W]],Table11[[#This Row],[A]],Table11[[#This Row],[F]])*5</f>
        <v>5</v>
      </c>
      <c r="P18" t="str">
        <f>TEXT(Table11[[#This Row],[Score]],"00,00")&amp;TEXT(Table11[[#This Row],[Fouten]],"00")&amp;TEXT(Table11[[#This Row],[Tijd]],"00,000")</f>
        <v>05,000528,680</v>
      </c>
      <c r="Q18" t="str">
        <f>IF(IFERROR(VLOOKUP(Table11[[#This Row],[SNR]],Deelnemers[#Data],7,0),0)&lt;&gt;$C$4,"Loopt niet in deze groep!",IF(COUNTIF(Table11[SNR],Table11[[#This Row],[SNR]])&gt;1,"Dubbel",""))</f>
        <v/>
      </c>
    </row>
    <row r="19" spans="1:17" x14ac:dyDescent="0.2">
      <c r="A19">
        <f>IFERROR(VLOOKUP(Table11[[#This Row],[SNR]],Deelnemers[#Data],2,0),"")</f>
        <v>160474</v>
      </c>
      <c r="B19">
        <f>IF(VLOOKUP(Table11[[#This Row],[SNR]],Deelnemers[#Data],8,0)&gt;0,"BM",IF(Table11[[#This Row],[Score]]="Disk",0,MATCH(Table11[[#This Row],[Sorteren]],Table11[Sorteren],0)-COUNTIF($B$7:$B18,"BM")))</f>
        <v>12</v>
      </c>
      <c r="D19" t="str">
        <f>IFERROR(VLOOKUP(Table11[[#This Row],[SNR]],Deelnemers[#Data],3,0),"")</f>
        <v>Danique Lagerwaard</v>
      </c>
      <c r="E19" t="str">
        <f>IFERROR(VLOOKUP(Table11[[#This Row],[SNR]],Deelnemers[#Data],4,0),"")</f>
        <v>NOYTCB MORE</v>
      </c>
      <c r="F19" t="str">
        <f>IFERROR(VLOOKUP(Table11[[#This Row],[SNR]],Deelnemers[#Data],6,0),"")</f>
        <v>Border Collie</v>
      </c>
      <c r="G19" s="10">
        <v>41</v>
      </c>
      <c r="H19" s="10">
        <v>29.75</v>
      </c>
      <c r="I19" s="10"/>
      <c r="J19" s="10"/>
      <c r="K19" s="10">
        <v>1</v>
      </c>
      <c r="L19" s="10"/>
      <c r="M19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5</v>
      </c>
      <c r="N19">
        <f>IFERROR(PRODUCT($F$4,1/Table11[[#This Row],[Tijd]]),0)</f>
        <v>4.7394957983193278</v>
      </c>
      <c r="O19">
        <f>SUM(Table11[[#This Row],[W]],Table11[[#This Row],[A]],Table11[[#This Row],[F]])*5</f>
        <v>5</v>
      </c>
      <c r="P19" t="str">
        <f>TEXT(Table11[[#This Row],[Score]],"00,00")&amp;TEXT(Table11[[#This Row],[Fouten]],"00")&amp;TEXT(Table11[[#This Row],[Tijd]],"00,000")</f>
        <v>05,000529,750</v>
      </c>
      <c r="Q19" t="str">
        <f>IF(IFERROR(VLOOKUP(Table11[[#This Row],[SNR]],Deelnemers[#Data],7,0),0)&lt;&gt;$C$4,"Loopt niet in deze groep!",IF(COUNTIF(Table11[SNR],Table11[[#This Row],[SNR]])&gt;1,"Dubbel",""))</f>
        <v/>
      </c>
    </row>
    <row r="20" spans="1:17" x14ac:dyDescent="0.2">
      <c r="A20">
        <f>IFERROR(VLOOKUP(Table11[[#This Row],[SNR]],Deelnemers[#Data],2,0),"")</f>
        <v>145602</v>
      </c>
      <c r="B20">
        <f>IF(VLOOKUP(Table11[[#This Row],[SNR]],Deelnemers[#Data],8,0)&gt;0,"BM",IF(Table11[[#This Row],[Score]]="Disk",0,MATCH(Table11[[#This Row],[Sorteren]],Table11[Sorteren],0)-COUNTIF($B$7:$B19,"BM")))</f>
        <v>13</v>
      </c>
      <c r="D20" t="str">
        <f>IFERROR(VLOOKUP(Table11[[#This Row],[SNR]],Deelnemers[#Data],3,0),"")</f>
        <v>Godelieve Bouwes</v>
      </c>
      <c r="E20" t="str">
        <f>IFERROR(VLOOKUP(Table11[[#This Row],[SNR]],Deelnemers[#Data],4,0),"")</f>
        <v>Nolan</v>
      </c>
      <c r="F20" t="str">
        <f>IFERROR(VLOOKUP(Table11[[#This Row],[SNR]],Deelnemers[#Data],6,0),"")</f>
        <v>border collie</v>
      </c>
      <c r="G20" s="10">
        <v>45</v>
      </c>
      <c r="H20" s="10">
        <v>30.35</v>
      </c>
      <c r="I20" s="10"/>
      <c r="J20" s="10"/>
      <c r="K20" s="10">
        <v>1</v>
      </c>
      <c r="L20" s="10"/>
      <c r="M20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5</v>
      </c>
      <c r="N20">
        <f>IFERROR(PRODUCT($F$4,1/Table11[[#This Row],[Tijd]]),0)</f>
        <v>4.6457990115321248</v>
      </c>
      <c r="O20">
        <f>SUM(Table11[[#This Row],[W]],Table11[[#This Row],[A]],Table11[[#This Row],[F]])*5</f>
        <v>5</v>
      </c>
      <c r="P20" t="str">
        <f>TEXT(Table11[[#This Row],[Score]],"00,00")&amp;TEXT(Table11[[#This Row],[Fouten]],"00")&amp;TEXT(Table11[[#This Row],[Tijd]],"00,000")</f>
        <v>05,000530,350</v>
      </c>
      <c r="Q20" t="str">
        <f>IF(IFERROR(VLOOKUP(Table11[[#This Row],[SNR]],Deelnemers[#Data],7,0),0)&lt;&gt;$C$4,"Loopt niet in deze groep!",IF(COUNTIF(Table11[SNR],Table11[[#This Row],[SNR]])&gt;1,"Dubbel",""))</f>
        <v/>
      </c>
    </row>
    <row r="21" spans="1:17" x14ac:dyDescent="0.2">
      <c r="A21">
        <f>IFERROR(VLOOKUP(Table11[[#This Row],[SNR]],Deelnemers[#Data],2,0),"")</f>
        <v>165018</v>
      </c>
      <c r="B21">
        <f>IF(VLOOKUP(Table11[[#This Row],[SNR]],Deelnemers[#Data],8,0)&gt;0,"BM",IF(Table11[[#This Row],[Score]]="Disk",0,MATCH(Table11[[#This Row],[Sorteren]],Table11[Sorteren],0)-COUNTIF($B$7:$B20,"BM")))</f>
        <v>14</v>
      </c>
      <c r="D21" t="str">
        <f>IFERROR(VLOOKUP(Table11[[#This Row],[SNR]],Deelnemers[#Data],3,0),"")</f>
        <v>Herman van den Belt</v>
      </c>
      <c r="E21" t="str">
        <f>IFERROR(VLOOKUP(Table11[[#This Row],[SNR]],Deelnemers[#Data],4,0),"")</f>
        <v>Nash</v>
      </c>
      <c r="F21" t="str">
        <f>IFERROR(VLOOKUP(Table11[[#This Row],[SNR]],Deelnemers[#Data],6,0),"")</f>
        <v>Border Collie</v>
      </c>
      <c r="G21" s="10">
        <v>44</v>
      </c>
      <c r="H21" s="10">
        <v>32.08</v>
      </c>
      <c r="I21" s="10">
        <v>1</v>
      </c>
      <c r="J21" s="10"/>
      <c r="K21" s="10"/>
      <c r="L21" s="10"/>
      <c r="M21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5</v>
      </c>
      <c r="N21">
        <f>IFERROR(PRODUCT($F$4,1/Table11[[#This Row],[Tijd]]),0)</f>
        <v>4.3952618453865338</v>
      </c>
      <c r="O21">
        <f>SUM(Table11[[#This Row],[W]],Table11[[#This Row],[A]],Table11[[#This Row],[F]])*5</f>
        <v>5</v>
      </c>
      <c r="P21" t="str">
        <f>TEXT(Table11[[#This Row],[Score]],"00,00")&amp;TEXT(Table11[[#This Row],[Fouten]],"00")&amp;TEXT(Table11[[#This Row],[Tijd]],"00,000")</f>
        <v>05,000532,080</v>
      </c>
      <c r="Q21" t="str">
        <f>IF(IFERROR(VLOOKUP(Table11[[#This Row],[SNR]],Deelnemers[#Data],7,0),0)&lt;&gt;$C$4,"Loopt niet in deze groep!",IF(COUNTIF(Table11[SNR],Table11[[#This Row],[SNR]])&gt;1,"Dubbel",""))</f>
        <v/>
      </c>
    </row>
    <row r="22" spans="1:17" x14ac:dyDescent="0.2">
      <c r="A22">
        <f>IFERROR(VLOOKUP(Table11[[#This Row],[SNR]],Deelnemers[#Data],2,0),"")</f>
        <v>430844</v>
      </c>
      <c r="B22">
        <f>IF(VLOOKUP(Table11[[#This Row],[SNR]],Deelnemers[#Data],8,0)&gt;0,"BM",IF(Table11[[#This Row],[Score]]="Disk",0,MATCH(Table11[[#This Row],[Sorteren]],Table11[Sorteren],0)-COUNTIF($B$7:$B21,"BM")))</f>
        <v>15</v>
      </c>
      <c r="D22" t="str">
        <f>IFERROR(VLOOKUP(Table11[[#This Row],[SNR]],Deelnemers[#Data],3,0),"")</f>
        <v>Esther Booker</v>
      </c>
      <c r="E22" t="str">
        <f>IFERROR(VLOOKUP(Table11[[#This Row],[SNR]],Deelnemers[#Data],4,0),"")</f>
        <v>Lientje</v>
      </c>
      <c r="F22" t="str">
        <f>IFERROR(VLOOKUP(Table11[[#This Row],[SNR]],Deelnemers[#Data],6,0),"")</f>
        <v>Nova Scotia Duck Tolling Retriever</v>
      </c>
      <c r="G22" s="10">
        <v>32</v>
      </c>
      <c r="H22" s="10">
        <v>35.450000000000003</v>
      </c>
      <c r="I22" s="10"/>
      <c r="J22" s="10"/>
      <c r="K22" s="10">
        <v>1</v>
      </c>
      <c r="L22" s="10"/>
      <c r="M22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5</v>
      </c>
      <c r="N22">
        <f>IFERROR(PRODUCT($F$4,1/Table11[[#This Row],[Tijd]]),0)</f>
        <v>3.9774330042313113</v>
      </c>
      <c r="O22">
        <f>SUM(Table11[[#This Row],[W]],Table11[[#This Row],[A]],Table11[[#This Row],[F]])*5</f>
        <v>5</v>
      </c>
      <c r="P22" t="str">
        <f>TEXT(Table11[[#This Row],[Score]],"00,00")&amp;TEXT(Table11[[#This Row],[Fouten]],"00")&amp;TEXT(Table11[[#This Row],[Tijd]],"00,000")</f>
        <v>05,000535,450</v>
      </c>
      <c r="Q22" t="str">
        <f>IF(IFERROR(VLOOKUP(Table11[[#This Row],[SNR]],Deelnemers[#Data],7,0),0)&lt;&gt;$C$4,"Loopt niet in deze groep!",IF(COUNTIF(Table11[SNR],Table11[[#This Row],[SNR]])&gt;1,"Dubbel",""))</f>
        <v/>
      </c>
    </row>
    <row r="23" spans="1:17" x14ac:dyDescent="0.2">
      <c r="A23">
        <f>IFERROR(VLOOKUP(Table11[[#This Row],[SNR]],Deelnemers[#Data],2,0),"")</f>
        <v>155063</v>
      </c>
      <c r="B23">
        <f>IF(VLOOKUP(Table11[[#This Row],[SNR]],Deelnemers[#Data],8,0)&gt;0,"BM",IF(Table11[[#This Row],[Score]]="Disk",0,MATCH(Table11[[#This Row],[Sorteren]],Table11[Sorteren],0)-COUNTIF($B$7:$B22,"BM")))</f>
        <v>16</v>
      </c>
      <c r="D23" t="str">
        <f>IFERROR(VLOOKUP(Table11[[#This Row],[SNR]],Deelnemers[#Data],3,0),"")</f>
        <v>Reina Cominotto - Roerink</v>
      </c>
      <c r="E23" t="str">
        <f>IFERROR(VLOOKUP(Table11[[#This Row],[SNR]],Deelnemers[#Data],4,0),"")</f>
        <v>Djamila</v>
      </c>
      <c r="F23" t="str">
        <f>IFERROR(VLOOKUP(Table11[[#This Row],[SNR]],Deelnemers[#Data],6,0),"")</f>
        <v>Briard</v>
      </c>
      <c r="G23" s="10">
        <v>37</v>
      </c>
      <c r="H23" s="10">
        <v>38.89</v>
      </c>
      <c r="I23" s="10"/>
      <c r="J23" s="10"/>
      <c r="K23" s="10">
        <v>3</v>
      </c>
      <c r="L23" s="10"/>
      <c r="M23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15.89</v>
      </c>
      <c r="N23">
        <f>IFERROR(PRODUCT($F$4,1/Table11[[#This Row],[Tijd]]),0)</f>
        <v>3.6256106968372332</v>
      </c>
      <c r="O23">
        <f>SUM(Table11[[#This Row],[W]],Table11[[#This Row],[A]],Table11[[#This Row],[F]])*5</f>
        <v>15</v>
      </c>
      <c r="P23" t="str">
        <f>TEXT(Table11[[#This Row],[Score]],"00,00")&amp;TEXT(Table11[[#This Row],[Fouten]],"00")&amp;TEXT(Table11[[#This Row],[Tijd]],"00,000")</f>
        <v>15,891538,890</v>
      </c>
      <c r="Q23" t="str">
        <f>IF(IFERROR(VLOOKUP(Table11[[#This Row],[SNR]],Deelnemers[#Data],7,0),0)&lt;&gt;$C$4,"Loopt niet in deze groep!",IF(COUNTIF(Table11[SNR],Table11[[#This Row],[SNR]])&gt;1,"Dubbel",""))</f>
        <v/>
      </c>
    </row>
    <row r="24" spans="1:17" x14ac:dyDescent="0.2">
      <c r="A24">
        <f>IFERROR(VLOOKUP(Table11[[#This Row],[SNR]],Deelnemers[#Data],2,0),"")</f>
        <v>165247</v>
      </c>
      <c r="B24">
        <f>IF(VLOOKUP(Table11[[#This Row],[SNR]],Deelnemers[#Data],8,0)&gt;0,"BM",IF(Table11[[#This Row],[Score]]="Disk",0,MATCH(Table11[[#This Row],[Sorteren]],Table11[Sorteren],0)-COUNTIF($B$7:$B23,"BM")))</f>
        <v>17</v>
      </c>
      <c r="D24" t="str">
        <f>IFERROR(VLOOKUP(Table11[[#This Row],[SNR]],Deelnemers[#Data],3,0),"")</f>
        <v>Lenie Henrion Verpoorten</v>
      </c>
      <c r="E24" t="str">
        <f>IFERROR(VLOOKUP(Table11[[#This Row],[SNR]],Deelnemers[#Data],4,0),"")</f>
        <v>Mellan</v>
      </c>
      <c r="F24" t="str">
        <f>IFERROR(VLOOKUP(Table11[[#This Row],[SNR]],Deelnemers[#Data],6,0),"")</f>
        <v>Australian Shepherd</v>
      </c>
      <c r="G24" s="10">
        <v>57</v>
      </c>
      <c r="H24" s="10">
        <v>32.81</v>
      </c>
      <c r="I24" s="10"/>
      <c r="J24" s="10"/>
      <c r="K24" s="10">
        <v>4</v>
      </c>
      <c r="L24" s="10"/>
      <c r="M24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20</v>
      </c>
      <c r="N24">
        <f>IFERROR(PRODUCT($F$4,1/Table11[[#This Row],[Tijd]]),0)</f>
        <v>4.297470283450167</v>
      </c>
      <c r="O24">
        <f>SUM(Table11[[#This Row],[W]],Table11[[#This Row],[A]],Table11[[#This Row],[F]])*5</f>
        <v>20</v>
      </c>
      <c r="P24" t="str">
        <f>TEXT(Table11[[#This Row],[Score]],"00,00")&amp;TEXT(Table11[[#This Row],[Fouten]],"00")&amp;TEXT(Table11[[#This Row],[Tijd]],"00,000")</f>
        <v>20,002032,810</v>
      </c>
      <c r="Q24" t="str">
        <f>IF(IFERROR(VLOOKUP(Table11[[#This Row],[SNR]],Deelnemers[#Data],7,0),0)&lt;&gt;$C$4,"Loopt niet in deze groep!",IF(COUNTIF(Table11[SNR],Table11[[#This Row],[SNR]])&gt;1,"Dubbel",""))</f>
        <v/>
      </c>
    </row>
    <row r="25" spans="1:17" x14ac:dyDescent="0.2">
      <c r="A25">
        <f>IFERROR(VLOOKUP(Table11[[#This Row],[SNR]],Deelnemers[#Data],2,0),"")</f>
        <v>412818</v>
      </c>
      <c r="B25">
        <f>IF(VLOOKUP(Table11[[#This Row],[SNR]],Deelnemers[#Data],8,0)&gt;0,"BM",IF(Table11[[#This Row],[Score]]="Disk",0,MATCH(Table11[[#This Row],[Sorteren]],Table11[Sorteren],0)-COUNTIF($B$7:$B24,"BM")))</f>
        <v>18</v>
      </c>
      <c r="D25" t="str">
        <f>IFERROR(VLOOKUP(Table11[[#This Row],[SNR]],Deelnemers[#Data],3,0),"")</f>
        <v>Ariena vd Veen</v>
      </c>
      <c r="E25" t="str">
        <f>IFERROR(VLOOKUP(Table11[[#This Row],[SNR]],Deelnemers[#Data],4,0),"")</f>
        <v>Boss</v>
      </c>
      <c r="F25" t="str">
        <f>IFERROR(VLOOKUP(Table11[[#This Row],[SNR]],Deelnemers[#Data],6,0),"")</f>
        <v>Border Collie</v>
      </c>
      <c r="G25" s="10">
        <v>46</v>
      </c>
      <c r="H25" s="10">
        <v>43.97</v>
      </c>
      <c r="I25" s="10">
        <v>2</v>
      </c>
      <c r="J25" s="10"/>
      <c r="K25" s="10">
        <v>1</v>
      </c>
      <c r="L25" s="10"/>
      <c r="M25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20.97</v>
      </c>
      <c r="N25">
        <f>IFERROR(PRODUCT($F$4,1/Table11[[#This Row],[Tijd]]),0)</f>
        <v>3.2067318626336143</v>
      </c>
      <c r="O25">
        <f>SUM(Table11[[#This Row],[W]],Table11[[#This Row],[A]],Table11[[#This Row],[F]])*5</f>
        <v>15</v>
      </c>
      <c r="P25" t="str">
        <f>TEXT(Table11[[#This Row],[Score]],"00,00")&amp;TEXT(Table11[[#This Row],[Fouten]],"00")&amp;TEXT(Table11[[#This Row],[Tijd]],"00,000")</f>
        <v>20,971543,970</v>
      </c>
      <c r="Q25" t="str">
        <f>IF(IFERROR(VLOOKUP(Table11[[#This Row],[SNR]],Deelnemers[#Data],7,0),0)&lt;&gt;$C$4,"Loopt niet in deze groep!",IF(COUNTIF(Table11[SNR],Table11[[#This Row],[SNR]])&gt;1,"Dubbel",""))</f>
        <v/>
      </c>
    </row>
    <row r="26" spans="1:17" x14ac:dyDescent="0.2">
      <c r="A26">
        <f>IFERROR(VLOOKUP(Table11[[#This Row],[SNR]],Deelnemers[#Data],2,0),"")</f>
        <v>172332</v>
      </c>
      <c r="B26">
        <f>IF(VLOOKUP(Table11[[#This Row],[SNR]],Deelnemers[#Data],8,0)&gt;0,"BM",IF(Table11[[#This Row],[Score]]="Disk",0,MATCH(Table11[[#This Row],[Sorteren]],Table11[Sorteren],0)-COUNTIF($B$7:$B25,"BM")))</f>
        <v>0</v>
      </c>
      <c r="D26" t="str">
        <f>IFERROR(VLOOKUP(Table11[[#This Row],[SNR]],Deelnemers[#Data],3,0),"")</f>
        <v>Priscilla Bax</v>
      </c>
      <c r="E26" t="str">
        <f>IFERROR(VLOOKUP(Table11[[#This Row],[SNR]],Deelnemers[#Data],4,0),"")</f>
        <v>Shakes</v>
      </c>
      <c r="F26" t="str">
        <f>IFERROR(VLOOKUP(Table11[[#This Row],[SNR]],Deelnemers[#Data],6,0),"")</f>
        <v>Labrador Retriever</v>
      </c>
      <c r="G26" s="10">
        <v>34</v>
      </c>
      <c r="H26" s="10"/>
      <c r="I26" s="10"/>
      <c r="J26" s="10"/>
      <c r="K26" s="10"/>
      <c r="L26" s="10" t="s">
        <v>326</v>
      </c>
      <c r="M26" t="str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Disk</v>
      </c>
      <c r="N26">
        <f>IFERROR(PRODUCT($F$4,1/Table11[[#This Row],[Tijd]]),0)</f>
        <v>0</v>
      </c>
      <c r="O26">
        <f>SUM(Table11[[#This Row],[W]],Table11[[#This Row],[A]],Table11[[#This Row],[F]])*5</f>
        <v>0</v>
      </c>
      <c r="P26" t="str">
        <f>TEXT(Table11[[#This Row],[Score]],"00,00")&amp;TEXT(Table11[[#This Row],[Fouten]],"00")&amp;TEXT(Table11[[#This Row],[Tijd]],"00,000")</f>
        <v>Disk0000,000</v>
      </c>
      <c r="Q26" t="str">
        <f>IF(IFERROR(VLOOKUP(Table11[[#This Row],[SNR]],Deelnemers[#Data],7,0),0)&lt;&gt;$C$4,"Loopt niet in deze groep!",IF(COUNTIF(Table11[SNR],Table11[[#This Row],[SNR]])&gt;1,"Dubbel",""))</f>
        <v/>
      </c>
    </row>
    <row r="27" spans="1:17" x14ac:dyDescent="0.2">
      <c r="A27">
        <f>IFERROR(VLOOKUP(Table11[[#This Row],[SNR]],Deelnemers[#Data],2,0),"")</f>
        <v>163473</v>
      </c>
      <c r="B27">
        <f>IF(VLOOKUP(Table11[[#This Row],[SNR]],Deelnemers[#Data],8,0)&gt;0,"BM",IF(Table11[[#This Row],[Score]]="Disk",0,MATCH(Table11[[#This Row],[Sorteren]],Table11[Sorteren],0)-COUNTIF($B$7:$B26,"BM")))</f>
        <v>0</v>
      </c>
      <c r="D27" t="str">
        <f>IFERROR(VLOOKUP(Table11[[#This Row],[SNR]],Deelnemers[#Data],3,0),"")</f>
        <v>Sinne Tolsma</v>
      </c>
      <c r="E27" t="str">
        <f>IFERROR(VLOOKUP(Table11[[#This Row],[SNR]],Deelnemers[#Data],4,0),"")</f>
        <v>Zembla</v>
      </c>
      <c r="F27" t="str">
        <f>IFERROR(VLOOKUP(Table11[[#This Row],[SNR]],Deelnemers[#Data],6,0),"")</f>
        <v>Border Collie</v>
      </c>
      <c r="G27" s="10">
        <v>42</v>
      </c>
      <c r="H27" s="10"/>
      <c r="I27" s="10"/>
      <c r="J27" s="10"/>
      <c r="K27" s="10"/>
      <c r="L27" s="10" t="s">
        <v>326</v>
      </c>
      <c r="M27" t="str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Disk</v>
      </c>
      <c r="N27">
        <f>IFERROR(PRODUCT($F$4,1/Table11[[#This Row],[Tijd]]),0)</f>
        <v>0</v>
      </c>
      <c r="O27">
        <f>SUM(Table11[[#This Row],[W]],Table11[[#This Row],[A]],Table11[[#This Row],[F]])*5</f>
        <v>0</v>
      </c>
      <c r="P27" t="str">
        <f>TEXT(Table11[[#This Row],[Score]],"00,00")&amp;TEXT(Table11[[#This Row],[Fouten]],"00")&amp;TEXT(Table11[[#This Row],[Tijd]],"00,000")</f>
        <v>Disk0000,000</v>
      </c>
      <c r="Q27" t="str">
        <f>IF(IFERROR(VLOOKUP(Table11[[#This Row],[SNR]],Deelnemers[#Data],7,0),0)&lt;&gt;$C$4,"Loopt niet in deze groep!",IF(COUNTIF(Table11[SNR],Table11[[#This Row],[SNR]])&gt;1,"Dubbel",""))</f>
        <v/>
      </c>
    </row>
    <row r="28" spans="1:17" x14ac:dyDescent="0.2">
      <c r="A28">
        <f>IFERROR(VLOOKUP(Table11[[#This Row],[SNR]],Deelnemers[#Data],2,0),"")</f>
        <v>171964</v>
      </c>
      <c r="B28">
        <f>IF(VLOOKUP(Table11[[#This Row],[SNR]],Deelnemers[#Data],8,0)&gt;0,"BM",IF(Table11[[#This Row],[Score]]="Disk",0,MATCH(Table11[[#This Row],[Sorteren]],Table11[Sorteren],0)-COUNTIF($B$7:$B27,"BM")))</f>
        <v>0</v>
      </c>
      <c r="D28" t="str">
        <f>IFERROR(VLOOKUP(Table11[[#This Row],[SNR]],Deelnemers[#Data],3,0),"")</f>
        <v>Suzanne Verschuuren</v>
      </c>
      <c r="E28" t="str">
        <f>IFERROR(VLOOKUP(Table11[[#This Row],[SNR]],Deelnemers[#Data],4,0),"")</f>
        <v>Sum</v>
      </c>
      <c r="F28" t="str">
        <f>IFERROR(VLOOKUP(Table11[[#This Row],[SNR]],Deelnemers[#Data],6,0),"")</f>
        <v>Border Collie</v>
      </c>
      <c r="G28" s="10">
        <v>43</v>
      </c>
      <c r="H28" s="10"/>
      <c r="I28" s="10"/>
      <c r="J28" s="10"/>
      <c r="K28" s="10"/>
      <c r="L28" s="10" t="s">
        <v>326</v>
      </c>
      <c r="M28" t="str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Disk</v>
      </c>
      <c r="N28">
        <f>IFERROR(PRODUCT($F$4,1/Table11[[#This Row],[Tijd]]),0)</f>
        <v>0</v>
      </c>
      <c r="O28">
        <f>SUM(Table11[[#This Row],[W]],Table11[[#This Row],[A]],Table11[[#This Row],[F]])*5</f>
        <v>0</v>
      </c>
      <c r="P28" t="str">
        <f>TEXT(Table11[[#This Row],[Score]],"00,00")&amp;TEXT(Table11[[#This Row],[Fouten]],"00")&amp;TEXT(Table11[[#This Row],[Tijd]],"00,000")</f>
        <v>Disk0000,000</v>
      </c>
      <c r="Q28" t="str">
        <f>IF(IFERROR(VLOOKUP(Table11[[#This Row],[SNR]],Deelnemers[#Data],7,0),0)&lt;&gt;$C$4,"Loopt niet in deze groep!",IF(COUNTIF(Table11[SNR],Table11[[#This Row],[SNR]])&gt;1,"Dubbel",""))</f>
        <v/>
      </c>
    </row>
    <row r="29" spans="1:17" x14ac:dyDescent="0.2">
      <c r="A29">
        <f>IFERROR(VLOOKUP(Table11[[#This Row],[SNR]],Deelnemers[#Data],2,0),"")</f>
        <v>161772</v>
      </c>
      <c r="B29">
        <f>IF(VLOOKUP(Table11[[#This Row],[SNR]],Deelnemers[#Data],8,0)&gt;0,"BM",IF(Table11[[#This Row],[Score]]="Disk",0,MATCH(Table11[[#This Row],[Sorteren]],Table11[Sorteren],0)-COUNTIF($B$7:$B28,"BM")))</f>
        <v>0</v>
      </c>
      <c r="D29" t="str">
        <f>IFERROR(VLOOKUP(Table11[[#This Row],[SNR]],Deelnemers[#Data],3,0),"")</f>
        <v>Geertje Gorter</v>
      </c>
      <c r="E29" t="str">
        <f>IFERROR(VLOOKUP(Table11[[#This Row],[SNR]],Deelnemers[#Data],4,0),"")</f>
        <v>Tansy</v>
      </c>
      <c r="F29" t="str">
        <f>IFERROR(VLOOKUP(Table11[[#This Row],[SNR]],Deelnemers[#Data],6,0),"")</f>
        <v>Border Collie</v>
      </c>
      <c r="G29" s="10">
        <v>47</v>
      </c>
      <c r="H29" s="10"/>
      <c r="I29" s="10"/>
      <c r="J29" s="10"/>
      <c r="K29" s="10"/>
      <c r="L29" s="10" t="s">
        <v>326</v>
      </c>
      <c r="M29" t="str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Disk</v>
      </c>
      <c r="N29">
        <f>IFERROR(PRODUCT($F$4,1/Table11[[#This Row],[Tijd]]),0)</f>
        <v>0</v>
      </c>
      <c r="O29">
        <f>SUM(Table11[[#This Row],[W]],Table11[[#This Row],[A]],Table11[[#This Row],[F]])*5</f>
        <v>0</v>
      </c>
      <c r="P29" t="str">
        <f>TEXT(Table11[[#This Row],[Score]],"00,00")&amp;TEXT(Table11[[#This Row],[Fouten]],"00")&amp;TEXT(Table11[[#This Row],[Tijd]],"00,000")</f>
        <v>Disk0000,000</v>
      </c>
      <c r="Q29" t="str">
        <f>IF(IFERROR(VLOOKUP(Table11[[#This Row],[SNR]],Deelnemers[#Data],7,0),0)&lt;&gt;$C$4,"Loopt niet in deze groep!",IF(COUNTIF(Table11[SNR],Table11[[#This Row],[SNR]])&gt;1,"Dubbel",""))</f>
        <v/>
      </c>
    </row>
    <row r="30" spans="1:17" x14ac:dyDescent="0.2">
      <c r="A30">
        <f>IFERROR(VLOOKUP(Table11[[#This Row],[SNR]],Deelnemers[#Data],2,0),"")</f>
        <v>163961</v>
      </c>
      <c r="B30">
        <f>IF(VLOOKUP(Table11[[#This Row],[SNR]],Deelnemers[#Data],8,0)&gt;0,"BM",IF(Table11[[#This Row],[Score]]="Disk",0,MATCH(Table11[[#This Row],[Sorteren]],Table11[Sorteren],0)-COUNTIF($B$7:$B29,"BM")))</f>
        <v>0</v>
      </c>
      <c r="D30" t="str">
        <f>IFERROR(VLOOKUP(Table11[[#This Row],[SNR]],Deelnemers[#Data],3,0),"")</f>
        <v>Peter Kemper</v>
      </c>
      <c r="E30" t="str">
        <f>IFERROR(VLOOKUP(Table11[[#This Row],[SNR]],Deelnemers[#Data],4,0),"")</f>
        <v>Spûnk</v>
      </c>
      <c r="F30" t="str">
        <f>IFERROR(VLOOKUP(Table11[[#This Row],[SNR]],Deelnemers[#Data],6,0),"")</f>
        <v>Border Collie</v>
      </c>
      <c r="G30" s="10">
        <v>48</v>
      </c>
      <c r="H30" s="10"/>
      <c r="I30" s="10"/>
      <c r="J30" s="10"/>
      <c r="K30" s="10"/>
      <c r="L30" s="10" t="s">
        <v>326</v>
      </c>
      <c r="M30" t="str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Disk</v>
      </c>
      <c r="N30">
        <f>IFERROR(PRODUCT($F$4,1/Table11[[#This Row],[Tijd]]),0)</f>
        <v>0</v>
      </c>
      <c r="O30">
        <f>SUM(Table11[[#This Row],[W]],Table11[[#This Row],[A]],Table11[[#This Row],[F]])*5</f>
        <v>0</v>
      </c>
      <c r="P30" t="str">
        <f>TEXT(Table11[[#This Row],[Score]],"00,00")&amp;TEXT(Table11[[#This Row],[Fouten]],"00")&amp;TEXT(Table11[[#This Row],[Tijd]],"00,000")</f>
        <v>Disk0000,000</v>
      </c>
      <c r="Q30" t="str">
        <f>IF(IFERROR(VLOOKUP(Table11[[#This Row],[SNR]],Deelnemers[#Data],7,0),0)&lt;&gt;$C$4,"Loopt niet in deze groep!",IF(COUNTIF(Table11[SNR],Table11[[#This Row],[SNR]])&gt;1,"Dubbel",""))</f>
        <v/>
      </c>
    </row>
    <row r="31" spans="1:17" x14ac:dyDescent="0.2">
      <c r="A31">
        <f>IFERROR(VLOOKUP(Table11[[#This Row],[SNR]],Deelnemers[#Data],2,0),"")</f>
        <v>172642</v>
      </c>
      <c r="B31">
        <f>IF(VLOOKUP(Table11[[#This Row],[SNR]],Deelnemers[#Data],8,0)&gt;0,"BM",IF(Table11[[#This Row],[Score]]="Disk",0,MATCH(Table11[[#This Row],[Sorteren]],Table11[Sorteren],0)-COUNTIF($B$7:$B30,"BM")))</f>
        <v>0</v>
      </c>
      <c r="D31" t="str">
        <f>IFERROR(VLOOKUP(Table11[[#This Row],[SNR]],Deelnemers[#Data],3,0),"")</f>
        <v>Jaap Bijleveld</v>
      </c>
      <c r="E31" t="str">
        <f>IFERROR(VLOOKUP(Table11[[#This Row],[SNR]],Deelnemers[#Data],4,0),"")</f>
        <v>Sairaid</v>
      </c>
      <c r="F31" t="str">
        <f>IFERROR(VLOOKUP(Table11[[#This Row],[SNR]],Deelnemers[#Data],6,0),"")</f>
        <v>Border Collie</v>
      </c>
      <c r="G31" s="10">
        <v>50</v>
      </c>
      <c r="H31" s="10"/>
      <c r="I31" s="10"/>
      <c r="J31" s="10"/>
      <c r="K31" s="10"/>
      <c r="L31" s="10" t="s">
        <v>326</v>
      </c>
      <c r="M31" t="str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Disk</v>
      </c>
      <c r="N31">
        <f>IFERROR(PRODUCT($F$4,1/Table11[[#This Row],[Tijd]]),0)</f>
        <v>0</v>
      </c>
      <c r="O31">
        <f>SUM(Table11[[#This Row],[W]],Table11[[#This Row],[A]],Table11[[#This Row],[F]])*5</f>
        <v>0</v>
      </c>
      <c r="P31" t="str">
        <f>TEXT(Table11[[#This Row],[Score]],"00,00")&amp;TEXT(Table11[[#This Row],[Fouten]],"00")&amp;TEXT(Table11[[#This Row],[Tijd]],"00,000")</f>
        <v>Disk0000,000</v>
      </c>
      <c r="Q31" t="str">
        <f>IF(IFERROR(VLOOKUP(Table11[[#This Row],[SNR]],Deelnemers[#Data],7,0),0)&lt;&gt;$C$4,"Loopt niet in deze groep!",IF(COUNTIF(Table11[SNR],Table11[[#This Row],[SNR]])&gt;1,"Dubbel",""))</f>
        <v/>
      </c>
    </row>
    <row r="32" spans="1:17" x14ac:dyDescent="0.2">
      <c r="A32">
        <f>IFERROR(VLOOKUP(Table11[[#This Row],[SNR]],Deelnemers[#Data],2,0),"")</f>
        <v>154504</v>
      </c>
      <c r="B32">
        <f>IF(VLOOKUP(Table11[[#This Row],[SNR]],Deelnemers[#Data],8,0)&gt;0,"BM",IF(Table11[[#This Row],[Score]]="Disk",0,MATCH(Table11[[#This Row],[Sorteren]],Table11[Sorteren],0)-COUNTIF($B$7:$B31,"BM")))</f>
        <v>0</v>
      </c>
      <c r="D32" t="str">
        <f>IFERROR(VLOOKUP(Table11[[#This Row],[SNR]],Deelnemers[#Data],3,0),"")</f>
        <v>Seppie Jansma</v>
      </c>
      <c r="E32" t="str">
        <f>IFERROR(VLOOKUP(Table11[[#This Row],[SNR]],Deelnemers[#Data],4,0),"")</f>
        <v>Isa</v>
      </c>
      <c r="F32" t="str">
        <f>IFERROR(VLOOKUP(Table11[[#This Row],[SNR]],Deelnemers[#Data],6,0),"")</f>
        <v>Belgische Herdershond, Mechelse</v>
      </c>
      <c r="G32" s="10">
        <v>52</v>
      </c>
      <c r="H32" s="10"/>
      <c r="I32" s="10"/>
      <c r="J32" s="10"/>
      <c r="K32" s="10"/>
      <c r="L32" s="10" t="s">
        <v>326</v>
      </c>
      <c r="M32" t="str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Disk</v>
      </c>
      <c r="N32">
        <f>IFERROR(PRODUCT($F$4,1/Table11[[#This Row],[Tijd]]),0)</f>
        <v>0</v>
      </c>
      <c r="O32">
        <f>SUM(Table11[[#This Row],[W]],Table11[[#This Row],[A]],Table11[[#This Row],[F]])*5</f>
        <v>0</v>
      </c>
      <c r="P32" t="str">
        <f>TEXT(Table11[[#This Row],[Score]],"00,00")&amp;TEXT(Table11[[#This Row],[Fouten]],"00")&amp;TEXT(Table11[[#This Row],[Tijd]],"00,000")</f>
        <v>Disk0000,000</v>
      </c>
      <c r="Q32" t="str">
        <f>IF(IFERROR(VLOOKUP(Table11[[#This Row],[SNR]],Deelnemers[#Data],7,0),0)&lt;&gt;$C$4,"Loopt niet in deze groep!",IF(COUNTIF(Table11[SNR],Table11[[#This Row],[SNR]])&gt;1,"Dubbel",""))</f>
        <v/>
      </c>
    </row>
    <row r="33" spans="1:17" x14ac:dyDescent="0.2">
      <c r="A33">
        <f>IFERROR(VLOOKUP(Table11[[#This Row],[SNR]],Deelnemers[#Data],2,0),"")</f>
        <v>164895</v>
      </c>
      <c r="B33">
        <f>IF(VLOOKUP(Table11[[#This Row],[SNR]],Deelnemers[#Data],8,0)&gt;0,"BM",IF(Table11[[#This Row],[Score]]="Disk",0,MATCH(Table11[[#This Row],[Sorteren]],Table11[Sorteren],0)-COUNTIF($B$7:$B32,"BM")))</f>
        <v>0</v>
      </c>
      <c r="D33" t="str">
        <f>IFERROR(VLOOKUP(Table11[[#This Row],[SNR]],Deelnemers[#Data],3,0),"")</f>
        <v>Margreet Derksen</v>
      </c>
      <c r="E33" t="str">
        <f>IFERROR(VLOOKUP(Table11[[#This Row],[SNR]],Deelnemers[#Data],4,0),"")</f>
        <v>Sky</v>
      </c>
      <c r="F33" t="str">
        <f>IFERROR(VLOOKUP(Table11[[#This Row],[SNR]],Deelnemers[#Data],6,0),"")</f>
        <v>australian shepherd</v>
      </c>
      <c r="G33" s="10">
        <v>58</v>
      </c>
      <c r="H33" s="10"/>
      <c r="I33" s="10"/>
      <c r="J33" s="10"/>
      <c r="K33" s="10"/>
      <c r="L33" s="10" t="s">
        <v>326</v>
      </c>
      <c r="M33" t="str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Disk</v>
      </c>
      <c r="N33">
        <f>IFERROR(PRODUCT($F$4,1/Table11[[#This Row],[Tijd]]),0)</f>
        <v>0</v>
      </c>
      <c r="O33">
        <f>SUM(Table11[[#This Row],[W]],Table11[[#This Row],[A]],Table11[[#This Row],[F]])*5</f>
        <v>0</v>
      </c>
      <c r="P33" t="str">
        <f>TEXT(Table11[[#This Row],[Score]],"00,00")&amp;TEXT(Table11[[#This Row],[Fouten]],"00")&amp;TEXT(Table11[[#This Row],[Tijd]],"00,000")</f>
        <v>Disk0000,000</v>
      </c>
      <c r="Q33" t="str">
        <f>IF(IFERROR(VLOOKUP(Table11[[#This Row],[SNR]],Deelnemers[#Data],7,0),0)&lt;&gt;$C$4,"Loopt niet in deze groep!",IF(COUNTIF(Table11[SNR],Table11[[#This Row],[SNR]])&gt;1,"Dubbel",""))</f>
        <v/>
      </c>
    </row>
    <row r="34" spans="1:17" x14ac:dyDescent="0.2">
      <c r="A34">
        <f>IFERROR(VLOOKUP(Table11[[#This Row],[SNR]],Deelnemers[#Data],2,0),"")</f>
        <v>150339</v>
      </c>
      <c r="B34">
        <f>IF(VLOOKUP(Table11[[#This Row],[SNR]],Deelnemers[#Data],8,0)&gt;0,"BM",IF(Table11[[#This Row],[Score]]="Disk",0,MATCH(Table11[[#This Row],[Sorteren]],Table11[Sorteren],0)-COUNTIF($B$7:$B33,"BM")))</f>
        <v>0</v>
      </c>
      <c r="D34" t="str">
        <f>IFERROR(VLOOKUP(Table11[[#This Row],[SNR]],Deelnemers[#Data],3,0),"")</f>
        <v>Lisa de Gooijer</v>
      </c>
      <c r="E34" t="str">
        <f>IFERROR(VLOOKUP(Table11[[#This Row],[SNR]],Deelnemers[#Data],4,0),"")</f>
        <v>Pollux</v>
      </c>
      <c r="F34" t="str">
        <f>IFERROR(VLOOKUP(Table11[[#This Row],[SNR]],Deelnemers[#Data],6,0),"")</f>
        <v>Australian Kelpie</v>
      </c>
      <c r="G34" s="10">
        <v>60</v>
      </c>
      <c r="H34" s="10"/>
      <c r="I34" s="10"/>
      <c r="J34" s="10"/>
      <c r="K34" s="10"/>
      <c r="L34" s="10" t="s">
        <v>326</v>
      </c>
      <c r="M34" t="str">
        <f>IF(OR(ISNUMBER(SEARCH("Jumping", $C$5)),ISNUMBER(SEARCH("Vast Parcours", $C$5)), ISNUMBER(SEARCH("NKT", $C$5))),IF(OR(Table11[[#This Row],[Disk]]&gt;0,Table11[[#This Row],[W]]&gt;=3,Table11[[#This Row],[Tijd]]&gt;$F$3),"Disk",IF(ISBLANK(Table11[[#This Row],[Tijd]]),"",Table11[[#This Row],[Fouten]]+MAX(0,Table11[[#This Row],[Tijd]]-$F$2))),"-")</f>
        <v>Disk</v>
      </c>
      <c r="N34">
        <f>IFERROR(PRODUCT($F$4,1/Table11[[#This Row],[Tijd]]),0)</f>
        <v>0</v>
      </c>
      <c r="O34">
        <f>SUM(Table11[[#This Row],[W]],Table11[[#This Row],[A]],Table11[[#This Row],[F]])*5</f>
        <v>0</v>
      </c>
      <c r="P34" t="str">
        <f>TEXT(Table11[[#This Row],[Score]],"00,00")&amp;TEXT(Table11[[#This Row],[Fouten]],"00")&amp;TEXT(Table11[[#This Row],[Tijd]],"00,000")</f>
        <v>Disk0000,000</v>
      </c>
      <c r="Q34" t="str">
        <f>IF(IFERROR(VLOOKUP(Table11[[#This Row],[SNR]],Deelnemers[#Data],7,0),0)&lt;&gt;$C$4,"Loopt niet in deze groep!",IF(COUNTIF(Table11[SNR],Table11[[#This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41" priority="2">
      <formula>LEN(TRIM(F1))=0</formula>
    </cfRule>
  </conditionalFormatting>
  <conditionalFormatting sqref="F2:F4">
    <cfRule type="containsBlanks" dxfId="140" priority="1">
      <formula>LEN(TRIM(F2))=0</formula>
    </cfRule>
  </conditionalFormatting>
  <dataValidations count="2">
    <dataValidation type="list" allowBlank="1" showInputMessage="1" showErrorMessage="1" sqref="C4" xr:uid="{00000000-0002-0000-0B00-000000000000}">
      <formula1>GroepLijst</formula1>
    </dataValidation>
    <dataValidation type="list" allowBlank="1" showInputMessage="1" showErrorMessage="1" sqref="F1" xr:uid="{BE69FC21-15D4-2445-ADB6-B95344F5F373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36"/>
  <sheetViews>
    <sheetView workbookViewId="0">
      <selection activeCell="E12" sqref="E12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4">
        <v>50</v>
      </c>
      <c r="G2" t="s">
        <v>308</v>
      </c>
      <c r="H2" s="12" t="str">
        <f>$C$4</f>
        <v>2ᵉ graad Large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4">
        <v>75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3</v>
      </c>
      <c r="D4" s="13"/>
      <c r="E4" t="s">
        <v>310</v>
      </c>
      <c r="F4" s="4">
        <v>175</v>
      </c>
      <c r="G4" t="s">
        <v>311</v>
      </c>
      <c r="H4" s="12" t="str">
        <f>$C$5</f>
        <v>Vast Parcours 1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324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IFERROR(VLOOKUP(Table12[[#This Row],[SNR]],Deelnemers[#Data],2,0),"")</f>
        <v>150770</v>
      </c>
      <c r="B8">
        <f>IF(VLOOKUP(Table12[[#This Row],[SNR]],Deelnemers[#Data],8,0)&gt;0,"BM",IF(Table12[[#This Row],[Score]]="Disk",0,MATCH(Table12[[#This Row],[Sorteren]],Table12[Sorteren],0)-COUNTIF($B$7:$B7,"BM")))</f>
        <v>1</v>
      </c>
      <c r="D8" t="str">
        <f>IFERROR(VLOOKUP(Table12[[#This Row],[SNR]],Deelnemers[#Data],3,0),"")</f>
        <v>Ellen Overtoom</v>
      </c>
      <c r="E8" t="str">
        <f>IFERROR(VLOOKUP(Table12[[#This Row],[SNR]],Deelnemers[#Data],4,0),"")</f>
        <v>Yindi</v>
      </c>
      <c r="F8" t="str">
        <f>IFERROR(VLOOKUP(Table12[[#This Row],[SNR]],Deelnemers[#Data],6,0),"")</f>
        <v>Border Collie</v>
      </c>
      <c r="G8" s="4">
        <v>49</v>
      </c>
      <c r="H8" s="4">
        <v>39.42</v>
      </c>
      <c r="I8" s="4"/>
      <c r="J8" s="4"/>
      <c r="K8" s="4"/>
      <c r="L8" s="4"/>
      <c r="M8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0</v>
      </c>
      <c r="N8">
        <f>IFERROR(PRODUCT($F$4,1/Table12[[#This Row],[Tijd]]),0)</f>
        <v>4.4393708777270415</v>
      </c>
      <c r="O8">
        <f>SUM(Table12[[#This Row],[W]],Table12[[#This Row],[A]],Table12[[#This Row],[F]])*5</f>
        <v>0</v>
      </c>
      <c r="P8" t="str">
        <f>TEXT(Table12[[#This Row],[Score]],"00,00")&amp;TEXT(Table12[[#This Row],[Fouten]],"00")&amp;TEXT(Table12[[#This Row],[Tijd]],"00,000")</f>
        <v>00,000039,420</v>
      </c>
      <c r="Q8" t="str">
        <f>IF(IFERROR(VLOOKUP(Table12[[#This Row],[SNR]],Deelnemers[#Data],7,0),0)&lt;&gt;$C$4,"Loopt niet in deze groep!",IF(COUNTIF(Table12[SNR],Table12[[#This Row],[SNR]])&gt;1,"Dubbel",""))</f>
        <v/>
      </c>
    </row>
    <row r="9" spans="1:17" x14ac:dyDescent="0.2">
      <c r="A9">
        <f>IFERROR(VLOOKUP(Table12[[#This Row],[SNR]],Deelnemers[#Data],2,0),"")</f>
        <v>165018</v>
      </c>
      <c r="B9">
        <f>IF(VLOOKUP(Table12[[#This Row],[SNR]],Deelnemers[#Data],8,0)&gt;0,"BM",IF(Table12[[#This Row],[Score]]="Disk",0,MATCH(Table12[[#This Row],[Sorteren]],Table12[Sorteren],0)-COUNTIF($B$7:$B8,"BM")))</f>
        <v>2</v>
      </c>
      <c r="D9" t="str">
        <f>IFERROR(VLOOKUP(Table12[[#This Row],[SNR]],Deelnemers[#Data],3,0),"")</f>
        <v>Herman van den Belt</v>
      </c>
      <c r="E9" t="str">
        <f>IFERROR(VLOOKUP(Table12[[#This Row],[SNR]],Deelnemers[#Data],4,0),"")</f>
        <v>Nash</v>
      </c>
      <c r="F9" t="str">
        <f>IFERROR(VLOOKUP(Table12[[#This Row],[SNR]],Deelnemers[#Data],6,0),"")</f>
        <v>Border Collie</v>
      </c>
      <c r="G9" s="4">
        <v>44</v>
      </c>
      <c r="H9" s="4">
        <v>39.979999999999997</v>
      </c>
      <c r="I9" s="4"/>
      <c r="J9" s="4"/>
      <c r="K9" s="4"/>
      <c r="L9" s="4"/>
      <c r="M9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0</v>
      </c>
      <c r="N9">
        <f>IFERROR(PRODUCT($F$4,1/Table12[[#This Row],[Tijd]]),0)</f>
        <v>4.3771885942971487</v>
      </c>
      <c r="O9">
        <f>SUM(Table12[[#This Row],[W]],Table12[[#This Row],[A]],Table12[[#This Row],[F]])*5</f>
        <v>0</v>
      </c>
      <c r="P9" t="str">
        <f>TEXT(Table12[[#This Row],[Score]],"00,00")&amp;TEXT(Table12[[#This Row],[Fouten]],"00")&amp;TEXT(Table12[[#This Row],[Tijd]],"00,000")</f>
        <v>00,000039,980</v>
      </c>
      <c r="Q9" t="str">
        <f>IF(IFERROR(VLOOKUP(Table12[[#This Row],[SNR]],Deelnemers[#Data],7,0),0)&lt;&gt;$C$4,"Loopt niet in deze groep!",IF(COUNTIF(Table12[SNR],Table12[[#This Row],[SNR]])&gt;1,"Dubbel",""))</f>
        <v/>
      </c>
    </row>
    <row r="10" spans="1:17" x14ac:dyDescent="0.2">
      <c r="A10">
        <f>IFERROR(VLOOKUP(Table12[[#This Row],[SNR]],Deelnemers[#Data],2,0),"")</f>
        <v>176702</v>
      </c>
      <c r="B10">
        <f>IF(VLOOKUP(Table12[[#This Row],[SNR]],Deelnemers[#Data],8,0)&gt;0,"BM",IF(Table12[[#This Row],[Score]]="Disk",0,MATCH(Table12[[#This Row],[Sorteren]],Table12[Sorteren],0)-COUNTIF($B$7:$B9,"BM")))</f>
        <v>3</v>
      </c>
      <c r="D10" t="str">
        <f>IFERROR(VLOOKUP(Table12[[#This Row],[SNR]],Deelnemers[#Data],3,0),"")</f>
        <v>Geertje Jalving</v>
      </c>
      <c r="E10" t="str">
        <f>IFERROR(VLOOKUP(Table12[[#This Row],[SNR]],Deelnemers[#Data],4,0),"")</f>
        <v>Diva</v>
      </c>
      <c r="F10" t="str">
        <f>IFERROR(VLOOKUP(Table12[[#This Row],[SNR]],Deelnemers[#Data],6,0),"")</f>
        <v>miniature american shepherd</v>
      </c>
      <c r="G10" s="4">
        <v>33</v>
      </c>
      <c r="H10" s="4">
        <v>46.4</v>
      </c>
      <c r="I10" s="4"/>
      <c r="J10" s="4"/>
      <c r="K10" s="4"/>
      <c r="L10" s="4"/>
      <c r="M10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0</v>
      </c>
      <c r="N10">
        <f>IFERROR(PRODUCT($F$4,1/Table12[[#This Row],[Tijd]]),0)</f>
        <v>3.7715517241379315</v>
      </c>
      <c r="O10">
        <f>SUM(Table12[[#This Row],[W]],Table12[[#This Row],[A]],Table12[[#This Row],[F]])*5</f>
        <v>0</v>
      </c>
      <c r="P10" t="str">
        <f>TEXT(Table12[[#This Row],[Score]],"00,00")&amp;TEXT(Table12[[#This Row],[Fouten]],"00")&amp;TEXT(Table12[[#This Row],[Tijd]],"00,000")</f>
        <v>00,000046,400</v>
      </c>
      <c r="Q10" t="str">
        <f>IF(IFERROR(VLOOKUP(Table12[[#This Row],[SNR]],Deelnemers[#Data],7,0),0)&lt;&gt;$C$4,"Loopt niet in deze groep!",IF(COUNTIF(Table12[SNR],Table12[[#This Row],[SNR]])&gt;1,"Dubbel",""))</f>
        <v/>
      </c>
    </row>
    <row r="11" spans="1:17" x14ac:dyDescent="0.2">
      <c r="A11">
        <f>IFERROR(VLOOKUP(Table12[[#This Row],[SNR]],Deelnemers[#Data],2,0),"")</f>
        <v>150339</v>
      </c>
      <c r="B11">
        <f>IF(VLOOKUP(Table12[[#This Row],[SNR]],Deelnemers[#Data],8,0)&gt;0,"BM",IF(Table12[[#This Row],[Score]]="Disk",0,MATCH(Table12[[#This Row],[Sorteren]],Table12[Sorteren],0)-COUNTIF($B$7:$B10,"BM")))</f>
        <v>4</v>
      </c>
      <c r="D11" t="str">
        <f>IFERROR(VLOOKUP(Table12[[#This Row],[SNR]],Deelnemers[#Data],3,0),"")</f>
        <v>Lisa de Gooijer</v>
      </c>
      <c r="E11" t="str">
        <f>IFERROR(VLOOKUP(Table12[[#This Row],[SNR]],Deelnemers[#Data],4,0),"")</f>
        <v>Pollux</v>
      </c>
      <c r="F11" t="str">
        <f>IFERROR(VLOOKUP(Table12[[#This Row],[SNR]],Deelnemers[#Data],6,0),"")</f>
        <v>Australian Kelpie</v>
      </c>
      <c r="G11" s="4">
        <v>60</v>
      </c>
      <c r="H11" s="4">
        <v>44.34</v>
      </c>
      <c r="I11" s="4"/>
      <c r="J11" s="4"/>
      <c r="K11" s="4">
        <v>1</v>
      </c>
      <c r="L11" s="4"/>
      <c r="M11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5</v>
      </c>
      <c r="N11">
        <f>IFERROR(PRODUCT($F$4,1/Table12[[#This Row],[Tijd]]),0)</f>
        <v>3.9467749210645016</v>
      </c>
      <c r="O11">
        <f>SUM(Table12[[#This Row],[W]],Table12[[#This Row],[A]],Table12[[#This Row],[F]])*5</f>
        <v>5</v>
      </c>
      <c r="P11" t="str">
        <f>TEXT(Table12[[#This Row],[Score]],"00,00")&amp;TEXT(Table12[[#This Row],[Fouten]],"00")&amp;TEXT(Table12[[#This Row],[Tijd]],"00,000")</f>
        <v>05,000544,340</v>
      </c>
      <c r="Q11" t="str">
        <f>IF(IFERROR(VLOOKUP(Table12[[#This Row],[SNR]],Deelnemers[#Data],7,0),0)&lt;&gt;$C$4,"Loopt niet in deze groep!",IF(COUNTIF(Table12[SNR],Table12[[#This Row],[SNR]])&gt;1,"Dubbel",""))</f>
        <v/>
      </c>
    </row>
    <row r="12" spans="1:17" x14ac:dyDescent="0.2">
      <c r="A12">
        <f>IFERROR(VLOOKUP(Table12[[#This Row],[SNR]],Deelnemers[#Data],2,0),"")</f>
        <v>163686</v>
      </c>
      <c r="B12">
        <f>IF(VLOOKUP(Table12[[#This Row],[SNR]],Deelnemers[#Data],8,0)&gt;0,"BM",IF(Table12[[#This Row],[Score]]="Disk",0,MATCH(Table12[[#This Row],[Sorteren]],Table12[Sorteren],0)-COUNTIF($B$7:$B11,"BM")))</f>
        <v>5</v>
      </c>
      <c r="D12" t="str">
        <f>IFERROR(VLOOKUP(Table12[[#This Row],[SNR]],Deelnemers[#Data],3,0),"")</f>
        <v>Melanie Freriksen</v>
      </c>
      <c r="E12" t="str">
        <f>IFERROR(VLOOKUP(Table12[[#This Row],[SNR]],Deelnemers[#Data],4,0),"")</f>
        <v>Woezel</v>
      </c>
      <c r="F12" t="str">
        <f>IFERROR(VLOOKUP(Table12[[#This Row],[SNR]],Deelnemers[#Data],6,0),"")</f>
        <v>Amerikaanse Staffordshire Terriër</v>
      </c>
      <c r="G12" s="4">
        <v>61</v>
      </c>
      <c r="H12" s="4">
        <v>49.42</v>
      </c>
      <c r="I12" s="4"/>
      <c r="J12" s="4"/>
      <c r="K12" s="4">
        <v>1</v>
      </c>
      <c r="L12" s="4"/>
      <c r="M12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5</v>
      </c>
      <c r="N12">
        <f>IFERROR(PRODUCT($F$4,1/Table12[[#This Row],[Tijd]]),0)</f>
        <v>3.5410764872521248</v>
      </c>
      <c r="O12">
        <f>SUM(Table12[[#This Row],[W]],Table12[[#This Row],[A]],Table12[[#This Row],[F]])*5</f>
        <v>5</v>
      </c>
      <c r="P12" t="str">
        <f>TEXT(Table12[[#This Row],[Score]],"00,00")&amp;TEXT(Table12[[#This Row],[Fouten]],"00")&amp;TEXT(Table12[[#This Row],[Tijd]],"00,000")</f>
        <v>05,000549,420</v>
      </c>
      <c r="Q12" t="str">
        <f>IF(IFERROR(VLOOKUP(Table12[[#This Row],[SNR]],Deelnemers[#Data],7,0),0)&lt;&gt;$C$4,"Loopt niet in deze groep!",IF(COUNTIF(Table12[SNR],Table12[[#This Row],[SNR]])&gt;1,"Dubbel",""))</f>
        <v/>
      </c>
    </row>
    <row r="13" spans="1:17" x14ac:dyDescent="0.2">
      <c r="A13">
        <f>IFERROR(VLOOKUP(Table12[[#This Row],[SNR]],Deelnemers[#Data],2,0),"")</f>
        <v>172642</v>
      </c>
      <c r="B13">
        <f>IF(VLOOKUP(Table12[[#This Row],[SNR]],Deelnemers[#Data],8,0)&gt;0,"BM",IF(Table12[[#This Row],[Score]]="Disk",0,MATCH(Table12[[#This Row],[Sorteren]],Table12[Sorteren],0)-COUNTIF($B$7:$B12,"BM")))</f>
        <v>6</v>
      </c>
      <c r="D13" t="str">
        <f>IFERROR(VLOOKUP(Table12[[#This Row],[SNR]],Deelnemers[#Data],3,0),"")</f>
        <v>Jaap Bijleveld</v>
      </c>
      <c r="E13" t="str">
        <f>IFERROR(VLOOKUP(Table12[[#This Row],[SNR]],Deelnemers[#Data],4,0),"")</f>
        <v>Sairaid</v>
      </c>
      <c r="F13" t="str">
        <f>IFERROR(VLOOKUP(Table12[[#This Row],[SNR]],Deelnemers[#Data],6,0),"")</f>
        <v>Border Collie</v>
      </c>
      <c r="G13" s="4">
        <v>50</v>
      </c>
      <c r="H13" s="4">
        <v>40.880000000000003</v>
      </c>
      <c r="I13" s="4"/>
      <c r="J13" s="4"/>
      <c r="K13" s="4">
        <v>2</v>
      </c>
      <c r="L13" s="4"/>
      <c r="M13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10</v>
      </c>
      <c r="N13">
        <f>IFERROR(PRODUCT($F$4,1/Table12[[#This Row],[Tijd]]),0)</f>
        <v>4.2808219178082192</v>
      </c>
      <c r="O13">
        <f>SUM(Table12[[#This Row],[W]],Table12[[#This Row],[A]],Table12[[#This Row],[F]])*5</f>
        <v>10</v>
      </c>
      <c r="P13" t="str">
        <f>TEXT(Table12[[#This Row],[Score]],"00,00")&amp;TEXT(Table12[[#This Row],[Fouten]],"00")&amp;TEXT(Table12[[#This Row],[Tijd]],"00,000")</f>
        <v>10,001040,880</v>
      </c>
      <c r="Q13" t="str">
        <f>IF(IFERROR(VLOOKUP(Table12[[#This Row],[SNR]],Deelnemers[#Data],7,0),0)&lt;&gt;$C$4,"Loopt niet in deze groep!",IF(COUNTIF(Table12[SNR],Table12[[#This Row],[SNR]])&gt;1,"Dubbel",""))</f>
        <v/>
      </c>
    </row>
    <row r="14" spans="1:17" x14ac:dyDescent="0.2">
      <c r="A14">
        <f>IFERROR(VLOOKUP(Table12[[#This Row],[SNR]],Deelnemers[#Data],2,0),"")</f>
        <v>412818</v>
      </c>
      <c r="B14">
        <f>IF(VLOOKUP(Table12[[#This Row],[SNR]],Deelnemers[#Data],8,0)&gt;0,"BM",IF(Table12[[#This Row],[Score]]="Disk",0,MATCH(Table12[[#This Row],[Sorteren]],Table12[Sorteren],0)-COUNTIF($B$7:$B13,"BM")))</f>
        <v>7</v>
      </c>
      <c r="D14" t="str">
        <f>IFERROR(VLOOKUP(Table12[[#This Row],[SNR]],Deelnemers[#Data],3,0),"")</f>
        <v>Ariena vd Veen</v>
      </c>
      <c r="E14" t="str">
        <f>IFERROR(VLOOKUP(Table12[[#This Row],[SNR]],Deelnemers[#Data],4,0),"")</f>
        <v>Boss</v>
      </c>
      <c r="F14" t="str">
        <f>IFERROR(VLOOKUP(Table12[[#This Row],[SNR]],Deelnemers[#Data],6,0),"")</f>
        <v>Border Collie</v>
      </c>
      <c r="G14" s="4">
        <v>46</v>
      </c>
      <c r="H14" s="4">
        <v>45.3</v>
      </c>
      <c r="I14" s="4"/>
      <c r="J14" s="4"/>
      <c r="K14" s="4">
        <v>2</v>
      </c>
      <c r="L14" s="4"/>
      <c r="M14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10</v>
      </c>
      <c r="N14">
        <f>IFERROR(PRODUCT($F$4,1/Table12[[#This Row],[Tijd]]),0)</f>
        <v>3.8631346578366448</v>
      </c>
      <c r="O14">
        <f>SUM(Table12[[#This Row],[W]],Table12[[#This Row],[A]],Table12[[#This Row],[F]])*5</f>
        <v>10</v>
      </c>
      <c r="P14" t="str">
        <f>TEXT(Table12[[#This Row],[Score]],"00,00")&amp;TEXT(Table12[[#This Row],[Fouten]],"00")&amp;TEXT(Table12[[#This Row],[Tijd]],"00,000")</f>
        <v>10,001045,300</v>
      </c>
      <c r="Q14" t="str">
        <f>IF(IFERROR(VLOOKUP(Table12[[#This Row],[SNR]],Deelnemers[#Data],7,0),0)&lt;&gt;$C$4,"Loopt niet in deze groep!",IF(COUNTIF(Table12[SNR],Table12[[#This Row],[SNR]])&gt;1,"Dubbel",""))</f>
        <v/>
      </c>
    </row>
    <row r="15" spans="1:17" x14ac:dyDescent="0.2">
      <c r="A15">
        <f>IFERROR(VLOOKUP(Table12[[#This Row],[SNR]],Deelnemers[#Data],2,0),"")</f>
        <v>144371</v>
      </c>
      <c r="B15">
        <f>IF(VLOOKUP(Table12[[#This Row],[SNR]],Deelnemers[#Data],8,0)&gt;0,"BM",IF(Table12[[#This Row],[Score]]="Disk",0,MATCH(Table12[[#This Row],[Sorteren]],Table12[Sorteren],0)-COUNTIF($B$7:$B14,"BM")))</f>
        <v>8</v>
      </c>
      <c r="D15" t="str">
        <f>IFERROR(VLOOKUP(Table12[[#This Row],[SNR]],Deelnemers[#Data],3,0),"")</f>
        <v>Thea van Niekerk</v>
      </c>
      <c r="E15" t="str">
        <f>IFERROR(VLOOKUP(Table12[[#This Row],[SNR]],Deelnemers[#Data],4,0),"")</f>
        <v>Pella</v>
      </c>
      <c r="F15" t="str">
        <f>IFERROR(VLOOKUP(Table12[[#This Row],[SNR]],Deelnemers[#Data],6,0),"")</f>
        <v>Belgische Herdershond, Groenendaeler</v>
      </c>
      <c r="G15" s="4">
        <v>55</v>
      </c>
      <c r="H15" s="4">
        <v>55.88</v>
      </c>
      <c r="I15" s="4"/>
      <c r="J15" s="4"/>
      <c r="K15" s="4">
        <v>2</v>
      </c>
      <c r="L15" s="4"/>
      <c r="M15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15.880000000000003</v>
      </c>
      <c r="N15">
        <f>IFERROR(PRODUCT($F$4,1/Table12[[#This Row],[Tijd]]),0)</f>
        <v>3.1317108088761629</v>
      </c>
      <c r="O15">
        <f>SUM(Table12[[#This Row],[W]],Table12[[#This Row],[A]],Table12[[#This Row],[F]])*5</f>
        <v>10</v>
      </c>
      <c r="P15" t="str">
        <f>TEXT(Table12[[#This Row],[Score]],"00,00")&amp;TEXT(Table12[[#This Row],[Fouten]],"00")&amp;TEXT(Table12[[#This Row],[Tijd]],"00,000")</f>
        <v>15,881055,880</v>
      </c>
      <c r="Q15" t="str">
        <f>IF(IFERROR(VLOOKUP(Table12[[#This Row],[SNR]],Deelnemers[#Data],7,0),0)&lt;&gt;$C$4,"Loopt niet in deze groep!",IF(COUNTIF(Table12[SNR],Table12[[#This Row],[SNR]])&gt;1,"Dubbel",""))</f>
        <v/>
      </c>
    </row>
    <row r="16" spans="1:17" x14ac:dyDescent="0.2">
      <c r="A16">
        <f>IFERROR(VLOOKUP(Table12[[#This Row],[SNR]],Deelnemers[#Data],2,0),"")</f>
        <v>155780</v>
      </c>
      <c r="B16">
        <f>IF(VLOOKUP(Table12[[#This Row],[SNR]],Deelnemers[#Data],8,0)&gt;0,"BM",IF(Table12[[#This Row],[Score]]="Disk",0,MATCH(Table12[[#This Row],[Sorteren]],Table12[Sorteren],0)-COUNTIF($B$7:$B15,"BM")))</f>
        <v>9</v>
      </c>
      <c r="D16" t="str">
        <f>IFERROR(VLOOKUP(Table12[[#This Row],[SNR]],Deelnemers[#Data],3,0),"")</f>
        <v>Caitlin van Zaanen</v>
      </c>
      <c r="E16" t="str">
        <f>IFERROR(VLOOKUP(Table12[[#This Row],[SNR]],Deelnemers[#Data],4,0),"")</f>
        <v>Chanti</v>
      </c>
      <c r="F16" t="str">
        <f>IFERROR(VLOOKUP(Table12[[#This Row],[SNR]],Deelnemers[#Data],6,0),"")</f>
        <v>Hovawart</v>
      </c>
      <c r="G16" s="4">
        <v>36</v>
      </c>
      <c r="H16" s="4">
        <v>56.38</v>
      </c>
      <c r="I16" s="4">
        <v>1</v>
      </c>
      <c r="J16" s="4"/>
      <c r="K16" s="4">
        <v>1</v>
      </c>
      <c r="L16" s="4"/>
      <c r="M16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16.380000000000003</v>
      </c>
      <c r="N16">
        <f>IFERROR(PRODUCT($F$4,1/Table12[[#This Row],[Tijd]]),0)</f>
        <v>3.1039375665129478</v>
      </c>
      <c r="O16">
        <f>SUM(Table12[[#This Row],[W]],Table12[[#This Row],[A]],Table12[[#This Row],[F]])*5</f>
        <v>10</v>
      </c>
      <c r="P16" t="str">
        <f>TEXT(Table12[[#This Row],[Score]],"00,00")&amp;TEXT(Table12[[#This Row],[Fouten]],"00")&amp;TEXT(Table12[[#This Row],[Tijd]],"00,000")</f>
        <v>16,381056,380</v>
      </c>
      <c r="Q16" t="str">
        <f>IF(IFERROR(VLOOKUP(Table12[[#This Row],[SNR]],Deelnemers[#Data],7,0),0)&lt;&gt;$C$4,"Loopt niet in deze groep!",IF(COUNTIF(Table12[SNR],Table12[[#This Row],[SNR]])&gt;1,"Dubbel",""))</f>
        <v/>
      </c>
    </row>
    <row r="17" spans="1:17" x14ac:dyDescent="0.2">
      <c r="A17">
        <f>IFERROR(VLOOKUP(Table12[[#This Row],[SNR]],Deelnemers[#Data],2,0),"")</f>
        <v>154504</v>
      </c>
      <c r="B17">
        <f>IF(VLOOKUP(Table12[[#This Row],[SNR]],Deelnemers[#Data],8,0)&gt;0,"BM",IF(Table12[[#This Row],[Score]]="Disk",0,MATCH(Table12[[#This Row],[Sorteren]],Table12[Sorteren],0)-COUNTIF($B$7:$B16,"BM")))</f>
        <v>10</v>
      </c>
      <c r="D17" t="str">
        <f>IFERROR(VLOOKUP(Table12[[#This Row],[SNR]],Deelnemers[#Data],3,0),"")</f>
        <v>Seppie Jansma</v>
      </c>
      <c r="E17" t="str">
        <f>IFERROR(VLOOKUP(Table12[[#This Row],[SNR]],Deelnemers[#Data],4,0),"")</f>
        <v>Isa</v>
      </c>
      <c r="F17" t="str">
        <f>IFERROR(VLOOKUP(Table12[[#This Row],[SNR]],Deelnemers[#Data],6,0),"")</f>
        <v>Belgische Herdershond, Mechelse</v>
      </c>
      <c r="G17" s="4">
        <v>52</v>
      </c>
      <c r="H17" s="4">
        <v>38.74</v>
      </c>
      <c r="I17" s="4"/>
      <c r="J17" s="4"/>
      <c r="K17" s="4">
        <v>4</v>
      </c>
      <c r="L17" s="4"/>
      <c r="M17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20</v>
      </c>
      <c r="N17">
        <f>IFERROR(PRODUCT($F$4,1/Table12[[#This Row],[Tijd]]),0)</f>
        <v>4.5172947857511607</v>
      </c>
      <c r="O17">
        <f>SUM(Table12[[#This Row],[W]],Table12[[#This Row],[A]],Table12[[#This Row],[F]])*5</f>
        <v>20</v>
      </c>
      <c r="P17" t="str">
        <f>TEXT(Table12[[#This Row],[Score]],"00,00")&amp;TEXT(Table12[[#This Row],[Fouten]],"00")&amp;TEXT(Table12[[#This Row],[Tijd]],"00,000")</f>
        <v>20,002038,740</v>
      </c>
      <c r="Q17" t="str">
        <f>IF(IFERROR(VLOOKUP(Table12[[#This Row],[SNR]],Deelnemers[#Data],7,0),0)&lt;&gt;$C$4,"Loopt niet in deze groep!",IF(COUNTIF(Table12[SNR],Table12[[#This Row],[SNR]])&gt;1,"Dubbel",""))</f>
        <v/>
      </c>
    </row>
    <row r="18" spans="1:17" x14ac:dyDescent="0.2">
      <c r="A18">
        <f>IFERROR(VLOOKUP(Table12[[#This Row],[SNR]],Deelnemers[#Data],2,0),"")</f>
        <v>415396</v>
      </c>
      <c r="B18">
        <f>IF(VLOOKUP(Table12[[#This Row],[SNR]],Deelnemers[#Data],8,0)&gt;0,"BM",IF(Table12[[#This Row],[Score]]="Disk",0,MATCH(Table12[[#This Row],[Sorteren]],Table12[Sorteren],0)-COUNTIF($B$7:$B17,"BM")))</f>
        <v>11</v>
      </c>
      <c r="D18" t="str">
        <f>IFERROR(VLOOKUP(Table12[[#This Row],[SNR]],Deelnemers[#Data],3,0),"")</f>
        <v>Erik Stoeten</v>
      </c>
      <c r="E18" t="str">
        <f>IFERROR(VLOOKUP(Table12[[#This Row],[SNR]],Deelnemers[#Data],4,0),"")</f>
        <v>Chu´a</v>
      </c>
      <c r="F18" t="str">
        <f>IFERROR(VLOOKUP(Table12[[#This Row],[SNR]],Deelnemers[#Data],6,0),"")</f>
        <v>Border Collie</v>
      </c>
      <c r="G18" s="4">
        <v>40</v>
      </c>
      <c r="H18" s="4">
        <v>40.86</v>
      </c>
      <c r="I18" s="4"/>
      <c r="J18" s="4"/>
      <c r="K18" s="4">
        <v>4</v>
      </c>
      <c r="L18" s="4"/>
      <c r="M18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20</v>
      </c>
      <c r="N18">
        <f>IFERROR(PRODUCT($F$4,1/Table12[[#This Row],[Tijd]]),0)</f>
        <v>4.2829172785119924</v>
      </c>
      <c r="O18">
        <f>SUM(Table12[[#This Row],[W]],Table12[[#This Row],[A]],Table12[[#This Row],[F]])*5</f>
        <v>20</v>
      </c>
      <c r="P18" t="str">
        <f>TEXT(Table12[[#This Row],[Score]],"00,00")&amp;TEXT(Table12[[#This Row],[Fouten]],"00")&amp;TEXT(Table12[[#This Row],[Tijd]],"00,000")</f>
        <v>20,002040,860</v>
      </c>
      <c r="Q18" t="str">
        <f>IF(IFERROR(VLOOKUP(Table12[[#This Row],[SNR]],Deelnemers[#Data],7,0),0)&lt;&gt;$C$4,"Loopt niet in deze groep!",IF(COUNTIF(Table12[SNR],Table12[[#This Row],[SNR]])&gt;1,"Dubbel",""))</f>
        <v/>
      </c>
    </row>
    <row r="19" spans="1:17" x14ac:dyDescent="0.2">
      <c r="A19">
        <f>IFERROR(VLOOKUP(Table12[[#This Row],[SNR]],Deelnemers[#Data],2,0),"")</f>
        <v>403676</v>
      </c>
      <c r="B19">
        <f>IF(VLOOKUP(Table12[[#This Row],[SNR]],Deelnemers[#Data],8,0)&gt;0,"BM",IF(Table12[[#This Row],[Score]]="Disk",0,MATCH(Table12[[#This Row],[Sorteren]],Table12[Sorteren],0)-COUNTIF($B$7:$B18,"BM")))</f>
        <v>0</v>
      </c>
      <c r="D19" t="str">
        <f>IFERROR(VLOOKUP(Table12[[#This Row],[SNR]],Deelnemers[#Data],3,0),"")</f>
        <v>José Bijleveld-Zwiers</v>
      </c>
      <c r="E19" t="str">
        <f>IFERROR(VLOOKUP(Table12[[#This Row],[SNR]],Deelnemers[#Data],4,0),"")</f>
        <v>Shiva</v>
      </c>
      <c r="F19" t="str">
        <f>IFERROR(VLOOKUP(Table12[[#This Row],[SNR]],Deelnemers[#Data],6,0),"")</f>
        <v>Schotse Herdershond, Langhaar</v>
      </c>
      <c r="G19" s="4">
        <v>31</v>
      </c>
      <c r="H19" s="4"/>
      <c r="I19" s="4"/>
      <c r="J19" s="4"/>
      <c r="K19" s="4"/>
      <c r="L19" s="4" t="s">
        <v>326</v>
      </c>
      <c r="M19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19">
        <f>IFERROR(PRODUCT($F$4,1/Table12[[#This Row],[Tijd]]),0)</f>
        <v>0</v>
      </c>
      <c r="O19">
        <f>SUM(Table12[[#This Row],[W]],Table12[[#This Row],[A]],Table12[[#This Row],[F]])*5</f>
        <v>0</v>
      </c>
      <c r="P19" t="str">
        <f>TEXT(Table12[[#This Row],[Score]],"00,00")&amp;TEXT(Table12[[#This Row],[Fouten]],"00")&amp;TEXT(Table12[[#This Row],[Tijd]],"00,000")</f>
        <v>Disk0000,000</v>
      </c>
      <c r="Q19" t="str">
        <f>IF(IFERROR(VLOOKUP(Table12[[#This Row],[SNR]],Deelnemers[#Data],7,0),0)&lt;&gt;$C$4,"Loopt niet in deze groep!",IF(COUNTIF(Table12[SNR],Table12[[#This Row],[SNR]])&gt;1,"Dubbel",""))</f>
        <v/>
      </c>
    </row>
    <row r="20" spans="1:17" x14ac:dyDescent="0.2">
      <c r="A20">
        <f>IFERROR(VLOOKUP(Table12[[#This Row],[SNR]],Deelnemers[#Data],2,0),"")</f>
        <v>430844</v>
      </c>
      <c r="B20">
        <f>IF(VLOOKUP(Table12[[#This Row],[SNR]],Deelnemers[#Data],8,0)&gt;0,"BM",IF(Table12[[#This Row],[Score]]="Disk",0,MATCH(Table12[[#This Row],[Sorteren]],Table12[Sorteren],0)-COUNTIF($B$7:$B19,"BM")))</f>
        <v>0</v>
      </c>
      <c r="D20" t="str">
        <f>IFERROR(VLOOKUP(Table12[[#This Row],[SNR]],Deelnemers[#Data],3,0),"")</f>
        <v>Esther Booker</v>
      </c>
      <c r="E20" t="str">
        <f>IFERROR(VLOOKUP(Table12[[#This Row],[SNR]],Deelnemers[#Data],4,0),"")</f>
        <v>Lientje</v>
      </c>
      <c r="F20" t="str">
        <f>IFERROR(VLOOKUP(Table12[[#This Row],[SNR]],Deelnemers[#Data],6,0),"")</f>
        <v>Nova Scotia Duck Tolling Retriever</v>
      </c>
      <c r="G20" s="4">
        <v>32</v>
      </c>
      <c r="H20" s="4"/>
      <c r="I20" s="4"/>
      <c r="J20" s="4"/>
      <c r="K20" s="4"/>
      <c r="L20" s="4" t="s">
        <v>326</v>
      </c>
      <c r="M20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20">
        <f>IFERROR(PRODUCT($F$4,1/Table12[[#This Row],[Tijd]]),0)</f>
        <v>0</v>
      </c>
      <c r="O20">
        <f>SUM(Table12[[#This Row],[W]],Table12[[#This Row],[A]],Table12[[#This Row],[F]])*5</f>
        <v>0</v>
      </c>
      <c r="P20" t="str">
        <f>TEXT(Table12[[#This Row],[Score]],"00,00")&amp;TEXT(Table12[[#This Row],[Fouten]],"00")&amp;TEXT(Table12[[#This Row],[Tijd]],"00,000")</f>
        <v>Disk0000,000</v>
      </c>
      <c r="Q20" t="str">
        <f>IF(IFERROR(VLOOKUP(Table12[[#This Row],[SNR]],Deelnemers[#Data],7,0),0)&lt;&gt;$C$4,"Loopt niet in deze groep!",IF(COUNTIF(Table12[SNR],Table12[[#This Row],[SNR]])&gt;1,"Dubbel",""))</f>
        <v/>
      </c>
    </row>
    <row r="21" spans="1:17" x14ac:dyDescent="0.2">
      <c r="A21">
        <f>IFERROR(VLOOKUP(Table12[[#This Row],[SNR]],Deelnemers[#Data],2,0),"")</f>
        <v>172332</v>
      </c>
      <c r="B21">
        <f>IF(VLOOKUP(Table12[[#This Row],[SNR]],Deelnemers[#Data],8,0)&gt;0,"BM",IF(Table12[[#This Row],[Score]]="Disk",0,MATCH(Table12[[#This Row],[Sorteren]],Table12[Sorteren],0)-COUNTIF($B$7:$B20,"BM")))</f>
        <v>0</v>
      </c>
      <c r="D21" t="str">
        <f>IFERROR(VLOOKUP(Table12[[#This Row],[SNR]],Deelnemers[#Data],3,0),"")</f>
        <v>Priscilla Bax</v>
      </c>
      <c r="E21" t="str">
        <f>IFERROR(VLOOKUP(Table12[[#This Row],[SNR]],Deelnemers[#Data],4,0),"")</f>
        <v>Shakes</v>
      </c>
      <c r="F21" t="str">
        <f>IFERROR(VLOOKUP(Table12[[#This Row],[SNR]],Deelnemers[#Data],6,0),"")</f>
        <v>Labrador Retriever</v>
      </c>
      <c r="G21">
        <v>34</v>
      </c>
      <c r="L21" t="s">
        <v>326</v>
      </c>
      <c r="M21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21">
        <f>IFERROR(PRODUCT($F$4,1/Table12[[#This Row],[Tijd]]),0)</f>
        <v>0</v>
      </c>
      <c r="O21">
        <f>SUM(Table12[[#This Row],[W]],Table12[[#This Row],[A]],Table12[[#This Row],[F]])*5</f>
        <v>0</v>
      </c>
      <c r="P21" t="str">
        <f>TEXT(Table12[[#This Row],[Score]],"00,00")&amp;TEXT(Table12[[#This Row],[Fouten]],"00")&amp;TEXT(Table12[[#This Row],[Tijd]],"00,000")</f>
        <v>Disk0000,000</v>
      </c>
      <c r="Q21" t="str">
        <f>IF(IFERROR(VLOOKUP(Table12[[#This Row],[SNR]],Deelnemers[#Data],7,0),0)&lt;&gt;$C$4,"Loopt niet in deze groep!",IF(COUNTIF(Table12[SNR],Table12[[#This Row],[SNR]])&gt;1,"Dubbel",""))</f>
        <v/>
      </c>
    </row>
    <row r="22" spans="1:17" x14ac:dyDescent="0.2">
      <c r="A22">
        <f>IFERROR(VLOOKUP(Table12[[#This Row],[SNR]],Deelnemers[#Data],2,0),"")</f>
        <v>170739</v>
      </c>
      <c r="B22">
        <f>IF(VLOOKUP(Table12[[#This Row],[SNR]],Deelnemers[#Data],8,0)&gt;0,"BM",IF(Table12[[#This Row],[Score]]="Disk",0,MATCH(Table12[[#This Row],[Sorteren]],Table12[Sorteren],0)-COUNTIF($B$7:$B21,"BM")))</f>
        <v>0</v>
      </c>
      <c r="D22" t="str">
        <f>IFERROR(VLOOKUP(Table12[[#This Row],[SNR]],Deelnemers[#Data],3,0),"")</f>
        <v>Lorena Speksnijder</v>
      </c>
      <c r="E22" t="str">
        <f>IFERROR(VLOOKUP(Table12[[#This Row],[SNR]],Deelnemers[#Data],4,0),"")</f>
        <v>Sam</v>
      </c>
      <c r="F22" t="str">
        <f>IFERROR(VLOOKUP(Table12[[#This Row],[SNR]],Deelnemers[#Data],6,0),"")</f>
        <v>kruising border collie x sheltie</v>
      </c>
      <c r="G22" s="4">
        <v>35</v>
      </c>
      <c r="H22" s="4"/>
      <c r="I22" s="4"/>
      <c r="J22" s="4"/>
      <c r="K22" s="4"/>
      <c r="L22" s="4" t="s">
        <v>326</v>
      </c>
      <c r="M22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22">
        <f>IFERROR(PRODUCT($F$4,1/Table12[[#This Row],[Tijd]]),0)</f>
        <v>0</v>
      </c>
      <c r="O22">
        <f>SUM(Table12[[#This Row],[W]],Table12[[#This Row],[A]],Table12[[#This Row],[F]])*5</f>
        <v>0</v>
      </c>
      <c r="P22" t="str">
        <f>TEXT(Table12[[#This Row],[Score]],"00,00")&amp;TEXT(Table12[[#This Row],[Fouten]],"00")&amp;TEXT(Table12[[#This Row],[Tijd]],"00,000")</f>
        <v>Disk0000,000</v>
      </c>
      <c r="Q22" t="str">
        <f>IF(IFERROR(VLOOKUP(Table12[[#This Row],[SNR]],Deelnemers[#Data],7,0),0)&lt;&gt;$C$4,"Loopt niet in deze groep!",IF(COUNTIF(Table12[SNR],Table12[[#This Row],[SNR]])&gt;1,"Dubbel",""))</f>
        <v/>
      </c>
    </row>
    <row r="23" spans="1:17" x14ac:dyDescent="0.2">
      <c r="A23">
        <f>IFERROR(VLOOKUP(Table12[[#This Row],[SNR]],Deelnemers[#Data],2,0),"")</f>
        <v>155063</v>
      </c>
      <c r="B23">
        <f>IF(VLOOKUP(Table12[[#This Row],[SNR]],Deelnemers[#Data],8,0)&gt;0,"BM",IF(Table12[[#This Row],[Score]]="Disk",0,MATCH(Table12[[#This Row],[Sorteren]],Table12[Sorteren],0)-COUNTIF($B$7:$B22,"BM")))</f>
        <v>0</v>
      </c>
      <c r="D23" t="str">
        <f>IFERROR(VLOOKUP(Table12[[#This Row],[SNR]],Deelnemers[#Data],3,0),"")</f>
        <v>Reina Cominotto - Roerink</v>
      </c>
      <c r="E23" t="str">
        <f>IFERROR(VLOOKUP(Table12[[#This Row],[SNR]],Deelnemers[#Data],4,0),"")</f>
        <v>Djamila</v>
      </c>
      <c r="F23" t="str">
        <f>IFERROR(VLOOKUP(Table12[[#This Row],[SNR]],Deelnemers[#Data],6,0),"")</f>
        <v>Briard</v>
      </c>
      <c r="G23" s="4">
        <v>37</v>
      </c>
      <c r="H23" s="4"/>
      <c r="I23" s="4"/>
      <c r="J23" s="4"/>
      <c r="K23" s="4"/>
      <c r="L23" s="4" t="s">
        <v>326</v>
      </c>
      <c r="M23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23">
        <f>IFERROR(PRODUCT($F$4,1/Table12[[#This Row],[Tijd]]),0)</f>
        <v>0</v>
      </c>
      <c r="O23">
        <f>SUM(Table12[[#This Row],[W]],Table12[[#This Row],[A]],Table12[[#This Row],[F]])*5</f>
        <v>0</v>
      </c>
      <c r="P23" t="str">
        <f>TEXT(Table12[[#This Row],[Score]],"00,00")&amp;TEXT(Table12[[#This Row],[Fouten]],"00")&amp;TEXT(Table12[[#This Row],[Tijd]],"00,000")</f>
        <v>Disk0000,000</v>
      </c>
      <c r="Q23" t="str">
        <f>IF(IFERROR(VLOOKUP(Table12[[#This Row],[SNR]],Deelnemers[#Data],7,0),0)&lt;&gt;$C$4,"Loopt niet in deze groep!",IF(COUNTIF(Table12[SNR],Table12[[#This Row],[SNR]])&gt;1,"Dubbel",""))</f>
        <v/>
      </c>
    </row>
    <row r="24" spans="1:17" x14ac:dyDescent="0.2">
      <c r="A24">
        <f>IFERROR(VLOOKUP(Table12[[#This Row],[SNR]],Deelnemers[#Data],2,0),"")</f>
        <v>400073</v>
      </c>
      <c r="B24">
        <f>IF(VLOOKUP(Table12[[#This Row],[SNR]],Deelnemers[#Data],8,0)&gt;0,"BM",IF(Table12[[#This Row],[Score]]="Disk",0,MATCH(Table12[[#This Row],[Sorteren]],Table12[Sorteren],0)-COUNTIF($B$7:$B23,"BM")))</f>
        <v>0</v>
      </c>
      <c r="D24" t="str">
        <f>IFERROR(VLOOKUP(Table12[[#This Row],[SNR]],Deelnemers[#Data],3,0),"")</f>
        <v>Koos Lith</v>
      </c>
      <c r="E24" t="str">
        <f>IFERROR(VLOOKUP(Table12[[#This Row],[SNR]],Deelnemers[#Data],4,0),"")</f>
        <v>Ice</v>
      </c>
      <c r="F24" t="str">
        <f>IFERROR(VLOOKUP(Table12[[#This Row],[SNR]],Deelnemers[#Data],6,0),"")</f>
        <v>Border Collie</v>
      </c>
      <c r="G24" s="4">
        <v>39</v>
      </c>
      <c r="H24" s="4"/>
      <c r="I24" s="4"/>
      <c r="J24" s="4"/>
      <c r="K24" s="4"/>
      <c r="L24" s="4" t="s">
        <v>326</v>
      </c>
      <c r="M24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24">
        <f>IFERROR(PRODUCT($F$4,1/Table12[[#This Row],[Tijd]]),0)</f>
        <v>0</v>
      </c>
      <c r="O24">
        <f>SUM(Table12[[#This Row],[W]],Table12[[#This Row],[A]],Table12[[#This Row],[F]])*5</f>
        <v>0</v>
      </c>
      <c r="P24" t="str">
        <f>TEXT(Table12[[#This Row],[Score]],"00,00")&amp;TEXT(Table12[[#This Row],[Fouten]],"00")&amp;TEXT(Table12[[#This Row],[Tijd]],"00,000")</f>
        <v>Disk0000,000</v>
      </c>
      <c r="Q24" t="str">
        <f>IF(IFERROR(VLOOKUP(Table12[[#This Row],[SNR]],Deelnemers[#Data],7,0),0)&lt;&gt;$C$4,"Loopt niet in deze groep!",IF(COUNTIF(Table12[SNR],Table12[[#This Row],[SNR]])&gt;1,"Dubbel",""))</f>
        <v/>
      </c>
    </row>
    <row r="25" spans="1:17" x14ac:dyDescent="0.2">
      <c r="A25">
        <f>IFERROR(VLOOKUP(Table12[[#This Row],[SNR]],Deelnemers[#Data],2,0),"")</f>
        <v>160474</v>
      </c>
      <c r="B25">
        <f>IF(VLOOKUP(Table12[[#This Row],[SNR]],Deelnemers[#Data],8,0)&gt;0,"BM",IF(Table12[[#This Row],[Score]]="Disk",0,MATCH(Table12[[#This Row],[Sorteren]],Table12[Sorteren],0)-COUNTIF($B$7:$B24,"BM")))</f>
        <v>0</v>
      </c>
      <c r="D25" t="str">
        <f>IFERROR(VLOOKUP(Table12[[#This Row],[SNR]],Deelnemers[#Data],3,0),"")</f>
        <v>Danique Lagerwaard</v>
      </c>
      <c r="E25" t="str">
        <f>IFERROR(VLOOKUP(Table12[[#This Row],[SNR]],Deelnemers[#Data],4,0),"")</f>
        <v>NOYTCB MORE</v>
      </c>
      <c r="F25" t="str">
        <f>IFERROR(VLOOKUP(Table12[[#This Row],[SNR]],Deelnemers[#Data],6,0),"")</f>
        <v>Border Collie</v>
      </c>
      <c r="G25" s="4">
        <v>41</v>
      </c>
      <c r="H25" s="4"/>
      <c r="I25" s="4"/>
      <c r="J25" s="4"/>
      <c r="K25" s="4"/>
      <c r="L25" s="4" t="s">
        <v>326</v>
      </c>
      <c r="M25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25">
        <f>IFERROR(PRODUCT($F$4,1/Table12[[#This Row],[Tijd]]),0)</f>
        <v>0</v>
      </c>
      <c r="O25">
        <f>SUM(Table12[[#This Row],[W]],Table12[[#This Row],[A]],Table12[[#This Row],[F]])*5</f>
        <v>0</v>
      </c>
      <c r="P25" t="str">
        <f>TEXT(Table12[[#This Row],[Score]],"00,00")&amp;TEXT(Table12[[#This Row],[Fouten]],"00")&amp;TEXT(Table12[[#This Row],[Tijd]],"00,000")</f>
        <v>Disk0000,000</v>
      </c>
      <c r="Q25" t="str">
        <f>IF(IFERROR(VLOOKUP(Table12[[#This Row],[SNR]],Deelnemers[#Data],7,0),0)&lt;&gt;$C$4,"Loopt niet in deze groep!",IF(COUNTIF(Table12[SNR],Table12[[#This Row],[SNR]])&gt;1,"Dubbel",""))</f>
        <v/>
      </c>
    </row>
    <row r="26" spans="1:17" x14ac:dyDescent="0.2">
      <c r="A26">
        <f>IFERROR(VLOOKUP(Table12[[#This Row],[SNR]],Deelnemers[#Data],2,0),"")</f>
        <v>163473</v>
      </c>
      <c r="B26">
        <f>IF(VLOOKUP(Table12[[#This Row],[SNR]],Deelnemers[#Data],8,0)&gt;0,"BM",IF(Table12[[#This Row],[Score]]="Disk",0,MATCH(Table12[[#This Row],[Sorteren]],Table12[Sorteren],0)-COUNTIF($B$7:$B25,"BM")))</f>
        <v>0</v>
      </c>
      <c r="D26" t="str">
        <f>IFERROR(VLOOKUP(Table12[[#This Row],[SNR]],Deelnemers[#Data],3,0),"")</f>
        <v>Sinne Tolsma</v>
      </c>
      <c r="E26" t="str">
        <f>IFERROR(VLOOKUP(Table12[[#This Row],[SNR]],Deelnemers[#Data],4,0),"")</f>
        <v>Zembla</v>
      </c>
      <c r="F26" t="str">
        <f>IFERROR(VLOOKUP(Table12[[#This Row],[SNR]],Deelnemers[#Data],6,0),"")</f>
        <v>Border Collie</v>
      </c>
      <c r="G26" s="4">
        <v>42</v>
      </c>
      <c r="H26" s="4"/>
      <c r="I26" s="4"/>
      <c r="J26" s="4"/>
      <c r="K26" s="4"/>
      <c r="L26" s="4" t="s">
        <v>326</v>
      </c>
      <c r="M26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26">
        <f>IFERROR(PRODUCT($F$4,1/Table12[[#This Row],[Tijd]]),0)</f>
        <v>0</v>
      </c>
      <c r="O26">
        <f>SUM(Table12[[#This Row],[W]],Table12[[#This Row],[A]],Table12[[#This Row],[F]])*5</f>
        <v>0</v>
      </c>
      <c r="P26" t="str">
        <f>TEXT(Table12[[#This Row],[Score]],"00,00")&amp;TEXT(Table12[[#This Row],[Fouten]],"00")&amp;TEXT(Table12[[#This Row],[Tijd]],"00,000")</f>
        <v>Disk0000,000</v>
      </c>
      <c r="Q26" t="str">
        <f>IF(IFERROR(VLOOKUP(Table12[[#This Row],[SNR]],Deelnemers[#Data],7,0),0)&lt;&gt;$C$4,"Loopt niet in deze groep!",IF(COUNTIF(Table12[SNR],Table12[[#This Row],[SNR]])&gt;1,"Dubbel",""))</f>
        <v/>
      </c>
    </row>
    <row r="27" spans="1:17" x14ac:dyDescent="0.2">
      <c r="A27">
        <f>IFERROR(VLOOKUP(Table12[[#This Row],[SNR]],Deelnemers[#Data],2,0),"")</f>
        <v>171964</v>
      </c>
      <c r="B27">
        <f>IF(VLOOKUP(Table12[[#This Row],[SNR]],Deelnemers[#Data],8,0)&gt;0,"BM",IF(Table12[[#This Row],[Score]]="Disk",0,MATCH(Table12[[#This Row],[Sorteren]],Table12[Sorteren],0)-COUNTIF($B$7:$B26,"BM")))</f>
        <v>0</v>
      </c>
      <c r="D27" t="str">
        <f>IFERROR(VLOOKUP(Table12[[#This Row],[SNR]],Deelnemers[#Data],3,0),"")</f>
        <v>Suzanne Verschuuren</v>
      </c>
      <c r="E27" t="str">
        <f>IFERROR(VLOOKUP(Table12[[#This Row],[SNR]],Deelnemers[#Data],4,0),"")</f>
        <v>Sum</v>
      </c>
      <c r="F27" t="str">
        <f>IFERROR(VLOOKUP(Table12[[#This Row],[SNR]],Deelnemers[#Data],6,0),"")</f>
        <v>Border Collie</v>
      </c>
      <c r="G27" s="4">
        <v>43</v>
      </c>
      <c r="H27" s="4"/>
      <c r="I27" s="4"/>
      <c r="J27" s="4"/>
      <c r="K27" s="4"/>
      <c r="L27" s="4" t="s">
        <v>326</v>
      </c>
      <c r="M27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27">
        <f>IFERROR(PRODUCT($F$4,1/Table12[[#This Row],[Tijd]]),0)</f>
        <v>0</v>
      </c>
      <c r="O27">
        <f>SUM(Table12[[#This Row],[W]],Table12[[#This Row],[A]],Table12[[#This Row],[F]])*5</f>
        <v>0</v>
      </c>
      <c r="P27" t="str">
        <f>TEXT(Table12[[#This Row],[Score]],"00,00")&amp;TEXT(Table12[[#This Row],[Fouten]],"00")&amp;TEXT(Table12[[#This Row],[Tijd]],"00,000")</f>
        <v>Disk0000,000</v>
      </c>
      <c r="Q27" t="str">
        <f>IF(IFERROR(VLOOKUP(Table12[[#This Row],[SNR]],Deelnemers[#Data],7,0),0)&lt;&gt;$C$4,"Loopt niet in deze groep!",IF(COUNTIF(Table12[SNR],Table12[[#This Row],[SNR]])&gt;1,"Dubbel",""))</f>
        <v/>
      </c>
    </row>
    <row r="28" spans="1:17" x14ac:dyDescent="0.2">
      <c r="A28">
        <f>IFERROR(VLOOKUP(Table12[[#This Row],[SNR]],Deelnemers[#Data],2,0),"")</f>
        <v>145602</v>
      </c>
      <c r="B28">
        <f>IF(VLOOKUP(Table12[[#This Row],[SNR]],Deelnemers[#Data],8,0)&gt;0,"BM",IF(Table12[[#This Row],[Score]]="Disk",0,MATCH(Table12[[#This Row],[Sorteren]],Table12[Sorteren],0)-COUNTIF($B$7:$B27,"BM")))</f>
        <v>0</v>
      </c>
      <c r="D28" t="str">
        <f>IFERROR(VLOOKUP(Table12[[#This Row],[SNR]],Deelnemers[#Data],3,0),"")</f>
        <v>Godelieve Bouwes</v>
      </c>
      <c r="E28" t="str">
        <f>IFERROR(VLOOKUP(Table12[[#This Row],[SNR]],Deelnemers[#Data],4,0),"")</f>
        <v>Nolan</v>
      </c>
      <c r="F28" t="str">
        <f>IFERROR(VLOOKUP(Table12[[#This Row],[SNR]],Deelnemers[#Data],6,0),"")</f>
        <v>border collie</v>
      </c>
      <c r="G28" s="4">
        <v>45</v>
      </c>
      <c r="H28" s="4"/>
      <c r="I28" s="4"/>
      <c r="J28" s="4"/>
      <c r="K28" s="4"/>
      <c r="L28" s="4" t="s">
        <v>326</v>
      </c>
      <c r="M28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28">
        <f>IFERROR(PRODUCT($F$4,1/Table12[[#This Row],[Tijd]]),0)</f>
        <v>0</v>
      </c>
      <c r="O28">
        <f>SUM(Table12[[#This Row],[W]],Table12[[#This Row],[A]],Table12[[#This Row],[F]])*5</f>
        <v>0</v>
      </c>
      <c r="P28" t="str">
        <f>TEXT(Table12[[#This Row],[Score]],"00,00")&amp;TEXT(Table12[[#This Row],[Fouten]],"00")&amp;TEXT(Table12[[#This Row],[Tijd]],"00,000")</f>
        <v>Disk0000,000</v>
      </c>
      <c r="Q28" t="str">
        <f>IF(IFERROR(VLOOKUP(Table12[[#This Row],[SNR]],Deelnemers[#Data],7,0),0)&lt;&gt;$C$4,"Loopt niet in deze groep!",IF(COUNTIF(Table12[SNR],Table12[[#This Row],[SNR]])&gt;1,"Dubbel",""))</f>
        <v/>
      </c>
    </row>
    <row r="29" spans="1:17" x14ac:dyDescent="0.2">
      <c r="A29">
        <f>IFERROR(VLOOKUP(Table12[[#This Row],[SNR]],Deelnemers[#Data],2,0),"")</f>
        <v>161772</v>
      </c>
      <c r="B29">
        <f>IF(VLOOKUP(Table12[[#This Row],[SNR]],Deelnemers[#Data],8,0)&gt;0,"BM",IF(Table12[[#This Row],[Score]]="Disk",0,MATCH(Table12[[#This Row],[Sorteren]],Table12[Sorteren],0)-COUNTIF($B$7:$B28,"BM")))</f>
        <v>0</v>
      </c>
      <c r="D29" t="str">
        <f>IFERROR(VLOOKUP(Table12[[#This Row],[SNR]],Deelnemers[#Data],3,0),"")</f>
        <v>Geertje Gorter</v>
      </c>
      <c r="E29" t="str">
        <f>IFERROR(VLOOKUP(Table12[[#This Row],[SNR]],Deelnemers[#Data],4,0),"")</f>
        <v>Tansy</v>
      </c>
      <c r="F29" t="str">
        <f>IFERROR(VLOOKUP(Table12[[#This Row],[SNR]],Deelnemers[#Data],6,0),"")</f>
        <v>Border Collie</v>
      </c>
      <c r="G29" s="4">
        <v>47</v>
      </c>
      <c r="H29" s="4"/>
      <c r="I29" s="4"/>
      <c r="J29" s="4"/>
      <c r="K29" s="4"/>
      <c r="L29" s="4" t="s">
        <v>326</v>
      </c>
      <c r="M29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29">
        <f>IFERROR(PRODUCT($F$4,1/Table12[[#This Row],[Tijd]]),0)</f>
        <v>0</v>
      </c>
      <c r="O29">
        <f>SUM(Table12[[#This Row],[W]],Table12[[#This Row],[A]],Table12[[#This Row],[F]])*5</f>
        <v>0</v>
      </c>
      <c r="P29" t="str">
        <f>TEXT(Table12[[#This Row],[Score]],"00,00")&amp;TEXT(Table12[[#This Row],[Fouten]],"00")&amp;TEXT(Table12[[#This Row],[Tijd]],"00,000")</f>
        <v>Disk0000,000</v>
      </c>
      <c r="Q29" t="str">
        <f>IF(IFERROR(VLOOKUP(Table12[[#This Row],[SNR]],Deelnemers[#Data],7,0),0)&lt;&gt;$C$4,"Loopt niet in deze groep!",IF(COUNTIF(Table12[SNR],Table12[[#This Row],[SNR]])&gt;1,"Dubbel",""))</f>
        <v/>
      </c>
    </row>
    <row r="30" spans="1:17" x14ac:dyDescent="0.2">
      <c r="A30">
        <f>IFERROR(VLOOKUP(Table12[[#This Row],[SNR]],Deelnemers[#Data],2,0),"")</f>
        <v>163961</v>
      </c>
      <c r="B30">
        <f>IF(VLOOKUP(Table12[[#This Row],[SNR]],Deelnemers[#Data],8,0)&gt;0,"BM",IF(Table12[[#This Row],[Score]]="Disk",0,MATCH(Table12[[#This Row],[Sorteren]],Table12[Sorteren],0)-COUNTIF($B$7:$B29,"BM")))</f>
        <v>0</v>
      </c>
      <c r="D30" t="str">
        <f>IFERROR(VLOOKUP(Table12[[#This Row],[SNR]],Deelnemers[#Data],3,0),"")</f>
        <v>Peter Kemper</v>
      </c>
      <c r="E30" t="str">
        <f>IFERROR(VLOOKUP(Table12[[#This Row],[SNR]],Deelnemers[#Data],4,0),"")</f>
        <v>Spûnk</v>
      </c>
      <c r="F30" t="str">
        <f>IFERROR(VLOOKUP(Table12[[#This Row],[SNR]],Deelnemers[#Data],6,0),"")</f>
        <v>Border Collie</v>
      </c>
      <c r="G30" s="4">
        <v>48</v>
      </c>
      <c r="H30" s="4"/>
      <c r="I30" s="4"/>
      <c r="J30" s="4"/>
      <c r="K30" s="4"/>
      <c r="L30" s="4" t="s">
        <v>326</v>
      </c>
      <c r="M30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30">
        <f>IFERROR(PRODUCT($F$4,1/Table12[[#This Row],[Tijd]]),0)</f>
        <v>0</v>
      </c>
      <c r="O30">
        <f>SUM(Table12[[#This Row],[W]],Table12[[#This Row],[A]],Table12[[#This Row],[F]])*5</f>
        <v>0</v>
      </c>
      <c r="P30" t="str">
        <f>TEXT(Table12[[#This Row],[Score]],"00,00")&amp;TEXT(Table12[[#This Row],[Fouten]],"00")&amp;TEXT(Table12[[#This Row],[Tijd]],"00,000")</f>
        <v>Disk0000,000</v>
      </c>
      <c r="Q30" t="str">
        <f>IF(IFERROR(VLOOKUP(Table12[[#This Row],[SNR]],Deelnemers[#Data],7,0),0)&lt;&gt;$C$4,"Loopt niet in deze groep!",IF(COUNTIF(Table12[SNR],Table12[[#This Row],[SNR]])&gt;1,"Dubbel",""))</f>
        <v/>
      </c>
    </row>
    <row r="31" spans="1:17" x14ac:dyDescent="0.2">
      <c r="A31">
        <f>IFERROR(VLOOKUP(Table12[[#This Row],[SNR]],Deelnemers[#Data],2,0),"")</f>
        <v>141216</v>
      </c>
      <c r="B31">
        <f>IF(VLOOKUP(Table12[[#This Row],[SNR]],Deelnemers[#Data],8,0)&gt;0,"BM",IF(Table12[[#This Row],[Score]]="Disk",0,MATCH(Table12[[#This Row],[Sorteren]],Table12[Sorteren],0)-COUNTIF($B$7:$B30,"BM")))</f>
        <v>0</v>
      </c>
      <c r="D31" t="str">
        <f>IFERROR(VLOOKUP(Table12[[#This Row],[SNR]],Deelnemers[#Data],3,0),"")</f>
        <v>Kim Pouls</v>
      </c>
      <c r="E31" t="str">
        <f>IFERROR(VLOOKUP(Table12[[#This Row],[SNR]],Deelnemers[#Data],4,0),"")</f>
        <v>Djazzy</v>
      </c>
      <c r="F31" t="str">
        <f>IFERROR(VLOOKUP(Table12[[#This Row],[SNR]],Deelnemers[#Data],6,0),"")</f>
        <v>Belgische Herdershond, Groenendaeler</v>
      </c>
      <c r="G31" s="4">
        <v>53</v>
      </c>
      <c r="H31" s="4"/>
      <c r="I31" s="4"/>
      <c r="J31" s="4"/>
      <c r="K31" s="4"/>
      <c r="L31" s="4" t="s">
        <v>326</v>
      </c>
      <c r="M31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31">
        <f>IFERROR(PRODUCT($F$4,1/Table12[[#This Row],[Tijd]]),0)</f>
        <v>0</v>
      </c>
      <c r="O31">
        <f>SUM(Table12[[#This Row],[W]],Table12[[#This Row],[A]],Table12[[#This Row],[F]])*5</f>
        <v>0</v>
      </c>
      <c r="P31" t="str">
        <f>TEXT(Table12[[#This Row],[Score]],"00,00")&amp;TEXT(Table12[[#This Row],[Fouten]],"00")&amp;TEXT(Table12[[#This Row],[Tijd]],"00,000")</f>
        <v>Disk0000,000</v>
      </c>
      <c r="Q31" t="str">
        <f>IF(IFERROR(VLOOKUP(Table12[[#This Row],[SNR]],Deelnemers[#Data],7,0),0)&lt;&gt;$C$4,"Loopt niet in deze groep!",IF(COUNTIF(Table12[SNR],Table12[[#This Row],[SNR]])&gt;1,"Dubbel",""))</f>
        <v/>
      </c>
    </row>
    <row r="32" spans="1:17" x14ac:dyDescent="0.2">
      <c r="A32">
        <f>IFERROR(VLOOKUP(Table12[[#This Row],[SNR]],Deelnemers[#Data],2,0),"")</f>
        <v>170542</v>
      </c>
      <c r="B32">
        <f>IF(VLOOKUP(Table12[[#This Row],[SNR]],Deelnemers[#Data],8,0)&gt;0,"BM",IF(Table12[[#This Row],[Score]]="Disk",0,MATCH(Table12[[#This Row],[Sorteren]],Table12[Sorteren],0)-COUNTIF($B$7:$B31,"BM")))</f>
        <v>0</v>
      </c>
      <c r="D32" t="str">
        <f>IFERROR(VLOOKUP(Table12[[#This Row],[SNR]],Deelnemers[#Data],3,0),"")</f>
        <v>Gert Meerholz</v>
      </c>
      <c r="E32" t="str">
        <f>IFERROR(VLOOKUP(Table12[[#This Row],[SNR]],Deelnemers[#Data],4,0),"")</f>
        <v>Kika</v>
      </c>
      <c r="F32" t="str">
        <f>IFERROR(VLOOKUP(Table12[[#This Row],[SNR]],Deelnemers[#Data],6,0),"")</f>
        <v>Belgische Herdershond, Groenendaeler</v>
      </c>
      <c r="G32" s="4">
        <v>54</v>
      </c>
      <c r="H32" s="4"/>
      <c r="I32" s="4"/>
      <c r="J32" s="4"/>
      <c r="K32" s="4"/>
      <c r="L32" s="4" t="s">
        <v>326</v>
      </c>
      <c r="M32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32">
        <f>IFERROR(PRODUCT($F$4,1/Table12[[#This Row],[Tijd]]),0)</f>
        <v>0</v>
      </c>
      <c r="O32">
        <f>SUM(Table12[[#This Row],[W]],Table12[[#This Row],[A]],Table12[[#This Row],[F]])*5</f>
        <v>0</v>
      </c>
      <c r="P32" t="str">
        <f>TEXT(Table12[[#This Row],[Score]],"00,00")&amp;TEXT(Table12[[#This Row],[Fouten]],"00")&amp;TEXT(Table12[[#This Row],[Tijd]],"00,000")</f>
        <v>Disk0000,000</v>
      </c>
      <c r="Q32" t="str">
        <f>IF(IFERROR(VLOOKUP(Table12[[#This Row],[SNR]],Deelnemers[#Data],7,0),0)&lt;&gt;$C$4,"Loopt niet in deze groep!",IF(COUNTIF(Table12[SNR],Table12[[#This Row],[SNR]])&gt;1,"Dubbel",""))</f>
        <v/>
      </c>
    </row>
    <row r="33" spans="1:17" x14ac:dyDescent="0.2">
      <c r="A33">
        <f>IFERROR(VLOOKUP(Table12[[#This Row],[SNR]],Deelnemers[#Data],2,0),"")</f>
        <v>174386</v>
      </c>
      <c r="B33">
        <f>IF(VLOOKUP(Table12[[#This Row],[SNR]],Deelnemers[#Data],8,0)&gt;0,"BM",IF(Table12[[#This Row],[Score]]="Disk",0,MATCH(Table12[[#This Row],[Sorteren]],Table12[Sorteren],0)-COUNTIF($B$7:$B32,"BM")))</f>
        <v>0</v>
      </c>
      <c r="D33" t="str">
        <f>IFERROR(VLOOKUP(Table12[[#This Row],[SNR]],Deelnemers[#Data],3,0),"")</f>
        <v>Andre Fiks</v>
      </c>
      <c r="E33" t="str">
        <f>IFERROR(VLOOKUP(Table12[[#This Row],[SNR]],Deelnemers[#Data],4,0),"")</f>
        <v>Jikke</v>
      </c>
      <c r="F33" t="str">
        <f>IFERROR(VLOOKUP(Table12[[#This Row],[SNR]],Deelnemers[#Data],6,0),"")</f>
        <v>Belgische Herdershond, Groenendaeler</v>
      </c>
      <c r="G33" s="4">
        <v>56</v>
      </c>
      <c r="H33" s="4"/>
      <c r="I33" s="4"/>
      <c r="J33" s="4"/>
      <c r="K33" s="4"/>
      <c r="L33" s="4" t="s">
        <v>326</v>
      </c>
      <c r="M33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33">
        <f>IFERROR(PRODUCT($F$4,1/Table12[[#This Row],[Tijd]]),0)</f>
        <v>0</v>
      </c>
      <c r="O33">
        <f>SUM(Table12[[#This Row],[W]],Table12[[#This Row],[A]],Table12[[#This Row],[F]])*5</f>
        <v>0</v>
      </c>
      <c r="P33" t="str">
        <f>TEXT(Table12[[#This Row],[Score]],"00,00")&amp;TEXT(Table12[[#This Row],[Fouten]],"00")&amp;TEXT(Table12[[#This Row],[Tijd]],"00,000")</f>
        <v>Disk0000,000</v>
      </c>
      <c r="Q33" t="str">
        <f>IF(IFERROR(VLOOKUP(Table12[[#This Row],[SNR]],Deelnemers[#Data],7,0),0)&lt;&gt;$C$4,"Loopt niet in deze groep!",IF(COUNTIF(Table12[SNR],Table12[[#This Row],[SNR]])&gt;1,"Dubbel",""))</f>
        <v/>
      </c>
    </row>
    <row r="34" spans="1:17" x14ac:dyDescent="0.2">
      <c r="A34">
        <f>IFERROR(VLOOKUP(Table12[[#This Row],[SNR]],Deelnemers[#Data],2,0),"")</f>
        <v>165247</v>
      </c>
      <c r="B34">
        <f>IF(VLOOKUP(Table12[[#This Row],[SNR]],Deelnemers[#Data],8,0)&gt;0,"BM",IF(Table12[[#This Row],[Score]]="Disk",0,MATCH(Table12[[#This Row],[Sorteren]],Table12[Sorteren],0)-COUNTIF($B$7:$B33,"BM")))</f>
        <v>0</v>
      </c>
      <c r="D34" t="str">
        <f>IFERROR(VLOOKUP(Table12[[#This Row],[SNR]],Deelnemers[#Data],3,0),"")</f>
        <v>Lenie Henrion Verpoorten</v>
      </c>
      <c r="E34" t="str">
        <f>IFERROR(VLOOKUP(Table12[[#This Row],[SNR]],Deelnemers[#Data],4,0),"")</f>
        <v>Mellan</v>
      </c>
      <c r="F34" t="str">
        <f>IFERROR(VLOOKUP(Table12[[#This Row],[SNR]],Deelnemers[#Data],6,0),"")</f>
        <v>Australian Shepherd</v>
      </c>
      <c r="G34" s="4">
        <v>57</v>
      </c>
      <c r="H34" s="4"/>
      <c r="I34" s="4"/>
      <c r="J34" s="4"/>
      <c r="K34" s="4"/>
      <c r="L34" s="4" t="s">
        <v>326</v>
      </c>
      <c r="M34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34">
        <f>IFERROR(PRODUCT($F$4,1/Table12[[#This Row],[Tijd]]),0)</f>
        <v>0</v>
      </c>
      <c r="O34">
        <f>SUM(Table12[[#This Row],[W]],Table12[[#This Row],[A]],Table12[[#This Row],[F]])*5</f>
        <v>0</v>
      </c>
      <c r="P34" t="str">
        <f>TEXT(Table12[[#This Row],[Score]],"00,00")&amp;TEXT(Table12[[#This Row],[Fouten]],"00")&amp;TEXT(Table12[[#This Row],[Tijd]],"00,000")</f>
        <v>Disk0000,000</v>
      </c>
      <c r="Q34" t="str">
        <f>IF(IFERROR(VLOOKUP(Table12[[#This Row],[SNR]],Deelnemers[#Data],7,0),0)&lt;&gt;$C$4,"Loopt niet in deze groep!",IF(COUNTIF(Table12[SNR],Table12[[#This Row],[SNR]])&gt;1,"Dubbel",""))</f>
        <v/>
      </c>
    </row>
    <row r="35" spans="1:17" x14ac:dyDescent="0.2">
      <c r="A35">
        <f>IFERROR(VLOOKUP(Table12[[#This Row],[SNR]],Deelnemers[#Data],2,0),"")</f>
        <v>164895</v>
      </c>
      <c r="B35">
        <f>IF(VLOOKUP(Table12[[#This Row],[SNR]],Deelnemers[#Data],8,0)&gt;0,"BM",IF(Table12[[#This Row],[Score]]="Disk",0,MATCH(Table12[[#This Row],[Sorteren]],Table12[Sorteren],0)-COUNTIF($B$7:$B34,"BM")))</f>
        <v>0</v>
      </c>
      <c r="D35" t="str">
        <f>IFERROR(VLOOKUP(Table12[[#This Row],[SNR]],Deelnemers[#Data],3,0),"")</f>
        <v>Margreet Derksen</v>
      </c>
      <c r="E35" t="str">
        <f>IFERROR(VLOOKUP(Table12[[#This Row],[SNR]],Deelnemers[#Data],4,0),"")</f>
        <v>Sky</v>
      </c>
      <c r="F35" t="str">
        <f>IFERROR(VLOOKUP(Table12[[#This Row],[SNR]],Deelnemers[#Data],6,0),"")</f>
        <v>australian shepherd</v>
      </c>
      <c r="G35" s="4">
        <v>58</v>
      </c>
      <c r="H35" s="4"/>
      <c r="I35" s="4"/>
      <c r="J35" s="4"/>
      <c r="K35" s="4"/>
      <c r="L35" s="4" t="s">
        <v>326</v>
      </c>
      <c r="M35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35">
        <f>IFERROR(PRODUCT($F$4,1/Table12[[#This Row],[Tijd]]),0)</f>
        <v>0</v>
      </c>
      <c r="O35">
        <f>SUM(Table12[[#This Row],[W]],Table12[[#This Row],[A]],Table12[[#This Row],[F]])*5</f>
        <v>0</v>
      </c>
      <c r="P35" t="str">
        <f>TEXT(Table12[[#This Row],[Score]],"00,00")&amp;TEXT(Table12[[#This Row],[Fouten]],"00")&amp;TEXT(Table12[[#This Row],[Tijd]],"00,000")</f>
        <v>Disk0000,000</v>
      </c>
      <c r="Q35" t="str">
        <f>IF(IFERROR(VLOOKUP(Table12[[#This Row],[SNR]],Deelnemers[#Data],7,0),0)&lt;&gt;$C$4,"Loopt niet in deze groep!",IF(COUNTIF(Table12[SNR],Table12[[#This Row],[SNR]])&gt;1,"Dubbel",""))</f>
        <v/>
      </c>
    </row>
    <row r="36" spans="1:17" x14ac:dyDescent="0.2">
      <c r="A36">
        <f>IFERROR(VLOOKUP(Table12[[#This Row],[SNR]],Deelnemers[#Data],2,0),"")</f>
        <v>165468</v>
      </c>
      <c r="B36">
        <f>IF(VLOOKUP(Table12[[#This Row],[SNR]],Deelnemers[#Data],8,0)&gt;0,"BM",IF(Table12[[#This Row],[Score]]="Disk",0,MATCH(Table12[[#This Row],[Sorteren]],Table12[Sorteren],0)-COUNTIF($B$7:$B35,"BM")))</f>
        <v>0</v>
      </c>
      <c r="D36" t="str">
        <f>IFERROR(VLOOKUP(Table12[[#This Row],[SNR]],Deelnemers[#Data],3,0),"")</f>
        <v>Marjolein Burggraaf</v>
      </c>
      <c r="E36" t="str">
        <f>IFERROR(VLOOKUP(Table12[[#This Row],[SNR]],Deelnemers[#Data],4,0),"")</f>
        <v>Abby</v>
      </c>
      <c r="F36" t="str">
        <f>IFERROR(VLOOKUP(Table12[[#This Row],[SNR]],Deelnemers[#Data],6,0),"")</f>
        <v>Australian Shepherd</v>
      </c>
      <c r="G36" s="4">
        <v>59</v>
      </c>
      <c r="H36" s="4"/>
      <c r="I36" s="4"/>
      <c r="J36" s="4"/>
      <c r="K36" s="4"/>
      <c r="L36" s="4" t="s">
        <v>326</v>
      </c>
      <c r="M36" t="str">
        <f>IF(OR(ISNUMBER(SEARCH("Jumping", $C$5)),ISNUMBER(SEARCH("Vast Parcours", $C$5)), ISNUMBER(SEARCH("NKT", $C$5))),IF(OR(Table12[[#This Row],[Disk]]&gt;0,Table12[[#This Row],[W]]&gt;=3,Table12[[#This Row],[Tijd]]&gt;$F$3),"Disk",IF(ISBLANK(Table12[[#This Row],[Tijd]]),"",Table12[[#This Row],[Fouten]]+MAX(0,Table12[[#This Row],[Tijd]]-$F$2))),"-")</f>
        <v>Disk</v>
      </c>
      <c r="N36">
        <f>IFERROR(PRODUCT($F$4,1/Table12[[#This Row],[Tijd]]),0)</f>
        <v>0</v>
      </c>
      <c r="O36">
        <f>SUM(Table12[[#This Row],[W]],Table12[[#This Row],[A]],Table12[[#This Row],[F]])*5</f>
        <v>0</v>
      </c>
      <c r="P36" t="str">
        <f>TEXT(Table12[[#This Row],[Score]],"00,00")&amp;TEXT(Table12[[#This Row],[Fouten]],"00")&amp;TEXT(Table12[[#This Row],[Tijd]],"00,000")</f>
        <v>Disk0000,000</v>
      </c>
      <c r="Q36" t="str">
        <f>IF(IFERROR(VLOOKUP(Table12[[#This Row],[SNR]],Deelnemers[#Data],7,0),0)&lt;&gt;$C$4,"Loopt niet in deze groep!",IF(COUNTIF(Table12[SNR],Table12[[#This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33" priority="3">
      <formula>LEN(TRIM(F1))=0</formula>
    </cfRule>
  </conditionalFormatting>
  <conditionalFormatting sqref="F2:F4">
    <cfRule type="containsBlanks" dxfId="132" priority="1">
      <formula>LEN(TRIM(F2))=0</formula>
    </cfRule>
  </conditionalFormatting>
  <dataValidations count="2">
    <dataValidation type="list" allowBlank="1" showInputMessage="1" showErrorMessage="1" sqref="C4" xr:uid="{00000000-0002-0000-0C00-000000000000}">
      <formula1>GroepLijst</formula1>
    </dataValidation>
    <dataValidation type="list" allowBlank="1" showInputMessage="1" showErrorMessage="1" sqref="F1" xr:uid="{D365D790-BA5D-0F4D-AAA9-293038753FB8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36"/>
  <sheetViews>
    <sheetView topLeftCell="A3" workbookViewId="0">
      <selection activeCell="H9" sqref="H9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8">
        <v>48</v>
      </c>
      <c r="G2" t="s">
        <v>308</v>
      </c>
      <c r="H2" s="12" t="str">
        <f>$C$4</f>
        <v>2ᵉ graad Large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8">
        <v>75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3</v>
      </c>
      <c r="D4" s="13"/>
      <c r="E4" t="s">
        <v>310</v>
      </c>
      <c r="F4" s="8">
        <v>173</v>
      </c>
      <c r="G4" t="s">
        <v>311</v>
      </c>
      <c r="H4" s="12" t="str">
        <f>$C$5</f>
        <v>Vast Parcours 2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IFERROR(VLOOKUP(Table13[[#This Row],[SNR]],Deelnemers[#Data],2,0),"")</f>
        <v>174386</v>
      </c>
      <c r="B8">
        <f>IF(VLOOKUP(Table13[[#This Row],[SNR]],Deelnemers[#Data],8,0)&gt;0,"BM",IF(Table13[[#This Row],[Score]]="Disk",0,MATCH(Table13[[#This Row],[Sorteren]],Table13[Sorteren],0)-COUNTIF($B$7:$B7,"BM")))</f>
        <v>1</v>
      </c>
      <c r="D8" t="str">
        <f>IFERROR(VLOOKUP(Table13[[#This Row],[SNR]],Deelnemers[#Data],3,0),"")</f>
        <v>Andre Fiks</v>
      </c>
      <c r="E8" t="str">
        <f>IFERROR(VLOOKUP(Table13[[#This Row],[SNR]],Deelnemers[#Data],4,0),"")</f>
        <v>Jikke</v>
      </c>
      <c r="F8" t="str">
        <f>IFERROR(VLOOKUP(Table13[[#This Row],[SNR]],Deelnemers[#Data],6,0),"")</f>
        <v>Belgische Herdershond, Groenendaeler</v>
      </c>
      <c r="G8" s="10">
        <v>56</v>
      </c>
      <c r="H8" s="10">
        <v>39.479999999999997</v>
      </c>
      <c r="I8" s="10"/>
      <c r="J8" s="10"/>
      <c r="K8" s="10"/>
      <c r="L8" s="10"/>
      <c r="M8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0</v>
      </c>
      <c r="N8">
        <f>IFERROR(PRODUCT($F$4,1/Table13[[#This Row],[Tijd]]),0)</f>
        <v>4.3819655521783183</v>
      </c>
      <c r="O8">
        <f>SUM(Table13[[#This Row],[W]],Table13[[#This Row],[A]],Table13[[#This Row],[F]])*5</f>
        <v>0</v>
      </c>
      <c r="P8" t="str">
        <f>TEXT(Table13[[#This Row],[Score]],"00,00")&amp;TEXT(Table13[[#This Row],[Fouten]],"00")&amp;TEXT(Table13[[#This Row],[Tijd]],"00,000")</f>
        <v>00,000039,480</v>
      </c>
      <c r="Q8" t="str">
        <f>IF(IFERROR(VLOOKUP(Table13[[#This Row],[SNR]],Deelnemers[#Data],7,0),0)&lt;&gt;$C$4,"Loopt niet in deze groep!",IF(COUNTIF(Table13[SNR],Table13[[#This Row],[SNR]])&gt;1,"Dubbel",""))</f>
        <v/>
      </c>
    </row>
    <row r="9" spans="1:17" x14ac:dyDescent="0.2">
      <c r="A9">
        <f>IFERROR(VLOOKUP(Table13[[#This Row],[SNR]],Deelnemers[#Data],2,0),"")</f>
        <v>165018</v>
      </c>
      <c r="B9">
        <f>IF(VLOOKUP(Table13[[#This Row],[SNR]],Deelnemers[#Data],8,0)&gt;0,"BM",IF(Table13[[#This Row],[Score]]="Disk",0,MATCH(Table13[[#This Row],[Sorteren]],Table13[Sorteren],0)-COUNTIF($B$7:$B8,"BM")))</f>
        <v>2</v>
      </c>
      <c r="D9" t="str">
        <f>IFERROR(VLOOKUP(Table13[[#This Row],[SNR]],Deelnemers[#Data],3,0),"")</f>
        <v>Herman van den Belt</v>
      </c>
      <c r="E9" t="str">
        <f>IFERROR(VLOOKUP(Table13[[#This Row],[SNR]],Deelnemers[#Data],4,0),"")</f>
        <v>Nash</v>
      </c>
      <c r="F9" t="str">
        <f>IFERROR(VLOOKUP(Table13[[#This Row],[SNR]],Deelnemers[#Data],6,0),"")</f>
        <v>Border Collie</v>
      </c>
      <c r="G9" s="8">
        <v>44</v>
      </c>
      <c r="H9" s="8">
        <v>40.18</v>
      </c>
      <c r="I9" s="8"/>
      <c r="J9" s="8"/>
      <c r="K9" s="8"/>
      <c r="L9" s="8"/>
      <c r="M9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0</v>
      </c>
      <c r="N9">
        <f>IFERROR(PRODUCT($F$4,1/Table13[[#This Row],[Tijd]]),0)</f>
        <v>4.3056246888999503</v>
      </c>
      <c r="O9">
        <f>SUM(Table13[[#This Row],[W]],Table13[[#This Row],[A]],Table13[[#This Row],[F]])*5</f>
        <v>0</v>
      </c>
      <c r="P9" t="str">
        <f>TEXT(Table13[[#This Row],[Score]],"00,00")&amp;TEXT(Table13[[#This Row],[Fouten]],"00")&amp;TEXT(Table13[[#This Row],[Tijd]],"00,000")</f>
        <v>00,000040,180</v>
      </c>
      <c r="Q9" t="str">
        <f>IF(IFERROR(VLOOKUP(Table13[[#This Row],[SNR]],Deelnemers[#Data],7,0),0)&lt;&gt;$C$4,"Loopt niet in deze groep!",IF(COUNTIF(Table13[SNR],Table13[[#This Row],[SNR]])&gt;1,"Dubbel",""))</f>
        <v/>
      </c>
    </row>
    <row r="10" spans="1:17" x14ac:dyDescent="0.2">
      <c r="A10">
        <f>IFERROR(VLOOKUP(Table13[[#This Row],[SNR]],Deelnemers[#Data],2,0),"")</f>
        <v>145602</v>
      </c>
      <c r="B10">
        <f>IF(VLOOKUP(Table13[[#This Row],[SNR]],Deelnemers[#Data],8,0)&gt;0,"BM",IF(Table13[[#This Row],[Score]]="Disk",0,MATCH(Table13[[#This Row],[Sorteren]],Table13[Sorteren],0)-COUNTIF($B$7:$B9,"BM")))</f>
        <v>3</v>
      </c>
      <c r="D10" t="str">
        <f>IFERROR(VLOOKUP(Table13[[#This Row],[SNR]],Deelnemers[#Data],3,0),"")</f>
        <v>Godelieve Bouwes</v>
      </c>
      <c r="E10" t="str">
        <f>IFERROR(VLOOKUP(Table13[[#This Row],[SNR]],Deelnemers[#Data],4,0),"")</f>
        <v>Nolan</v>
      </c>
      <c r="F10" t="str">
        <f>IFERROR(VLOOKUP(Table13[[#This Row],[SNR]],Deelnemers[#Data],6,0),"")</f>
        <v>border collie</v>
      </c>
      <c r="G10" s="8">
        <v>45</v>
      </c>
      <c r="H10" s="8">
        <v>40.96</v>
      </c>
      <c r="I10" s="8"/>
      <c r="J10" s="8"/>
      <c r="K10" s="8"/>
      <c r="L10" s="8"/>
      <c r="M10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0</v>
      </c>
      <c r="N10">
        <f>IFERROR(PRODUCT($F$4,1/Table13[[#This Row],[Tijd]]),0)</f>
        <v>4.2236328125</v>
      </c>
      <c r="O10">
        <f>SUM(Table13[[#This Row],[W]],Table13[[#This Row],[A]],Table13[[#This Row],[F]])*5</f>
        <v>0</v>
      </c>
      <c r="P10" t="str">
        <f>TEXT(Table13[[#This Row],[Score]],"00,00")&amp;TEXT(Table13[[#This Row],[Fouten]],"00")&amp;TEXT(Table13[[#This Row],[Tijd]],"00,000")</f>
        <v>00,000040,960</v>
      </c>
      <c r="Q10" t="str">
        <f>IF(IFERROR(VLOOKUP(Table13[[#This Row],[SNR]],Deelnemers[#Data],7,0),0)&lt;&gt;$C$4,"Loopt niet in deze groep!",IF(COUNTIF(Table13[SNR],Table13[[#This Row],[SNR]])&gt;1,"Dubbel",""))</f>
        <v/>
      </c>
    </row>
    <row r="11" spans="1:17" x14ac:dyDescent="0.2">
      <c r="A11">
        <f>IFERROR(VLOOKUP(Table13[[#This Row],[SNR]],Deelnemers[#Data],2,0),"")</f>
        <v>171964</v>
      </c>
      <c r="B11">
        <f>IF(VLOOKUP(Table13[[#This Row],[SNR]],Deelnemers[#Data],8,0)&gt;0,"BM",IF(Table13[[#This Row],[Score]]="Disk",0,MATCH(Table13[[#This Row],[Sorteren]],Table13[Sorteren],0)-COUNTIF($B$7:$B10,"BM")))</f>
        <v>4</v>
      </c>
      <c r="D11" t="str">
        <f>IFERROR(VLOOKUP(Table13[[#This Row],[SNR]],Deelnemers[#Data],3,0),"")</f>
        <v>Suzanne Verschuuren</v>
      </c>
      <c r="E11" t="str">
        <f>IFERROR(VLOOKUP(Table13[[#This Row],[SNR]],Deelnemers[#Data],4,0),"")</f>
        <v>Sum</v>
      </c>
      <c r="F11" t="str">
        <f>IFERROR(VLOOKUP(Table13[[#This Row],[SNR]],Deelnemers[#Data],6,0),"")</f>
        <v>Border Collie</v>
      </c>
      <c r="G11" s="8">
        <v>43</v>
      </c>
      <c r="H11" s="8">
        <v>41.9</v>
      </c>
      <c r="I11" s="8"/>
      <c r="J11" s="8"/>
      <c r="K11" s="8"/>
      <c r="L11" s="8"/>
      <c r="M11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0</v>
      </c>
      <c r="N11">
        <f>IFERROR(PRODUCT($F$4,1/Table13[[#This Row],[Tijd]]),0)</f>
        <v>4.1288782816229119</v>
      </c>
      <c r="O11">
        <f>SUM(Table13[[#This Row],[W]],Table13[[#This Row],[A]],Table13[[#This Row],[F]])*5</f>
        <v>0</v>
      </c>
      <c r="P11" t="str">
        <f>TEXT(Table13[[#This Row],[Score]],"00,00")&amp;TEXT(Table13[[#This Row],[Fouten]],"00")&amp;TEXT(Table13[[#This Row],[Tijd]],"00,000")</f>
        <v>00,000041,900</v>
      </c>
      <c r="Q11" t="str">
        <f>IF(IFERROR(VLOOKUP(Table13[[#This Row],[SNR]],Deelnemers[#Data],7,0),0)&lt;&gt;$C$4,"Loopt niet in deze groep!",IF(COUNTIF(Table13[SNR],Table13[[#This Row],[SNR]])&gt;1,"Dubbel",""))</f>
        <v/>
      </c>
    </row>
    <row r="12" spans="1:17" x14ac:dyDescent="0.2">
      <c r="A12">
        <f>IFERROR(VLOOKUP(Table13[[#This Row],[SNR]],Deelnemers[#Data],2,0),"")</f>
        <v>144371</v>
      </c>
      <c r="B12">
        <f>IF(VLOOKUP(Table13[[#This Row],[SNR]],Deelnemers[#Data],8,0)&gt;0,"BM",IF(Table13[[#This Row],[Score]]="Disk",0,MATCH(Table13[[#This Row],[Sorteren]],Table13[Sorteren],0)-COUNTIF($B$7:$B11,"BM")))</f>
        <v>5</v>
      </c>
      <c r="D12" t="str">
        <f>IFERROR(VLOOKUP(Table13[[#This Row],[SNR]],Deelnemers[#Data],3,0),"")</f>
        <v>Thea van Niekerk</v>
      </c>
      <c r="E12" t="str">
        <f>IFERROR(VLOOKUP(Table13[[#This Row],[SNR]],Deelnemers[#Data],4,0),"")</f>
        <v>Pella</v>
      </c>
      <c r="F12" t="str">
        <f>IFERROR(VLOOKUP(Table13[[#This Row],[SNR]],Deelnemers[#Data],6,0),"")</f>
        <v>Belgische Herdershond, Groenendaeler</v>
      </c>
      <c r="G12" s="8">
        <v>55</v>
      </c>
      <c r="H12" s="8">
        <v>43.56</v>
      </c>
      <c r="I12" s="8"/>
      <c r="J12" s="8"/>
      <c r="K12" s="8"/>
      <c r="L12" s="8"/>
      <c r="M12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0</v>
      </c>
      <c r="N12">
        <f>IFERROR(PRODUCT($F$4,1/Table13[[#This Row],[Tijd]]),0)</f>
        <v>3.9715335169880621</v>
      </c>
      <c r="O12">
        <f>SUM(Table13[[#This Row],[W]],Table13[[#This Row],[A]],Table13[[#This Row],[F]])*5</f>
        <v>0</v>
      </c>
      <c r="P12" t="str">
        <f>TEXT(Table13[[#This Row],[Score]],"00,00")&amp;TEXT(Table13[[#This Row],[Fouten]],"00")&amp;TEXT(Table13[[#This Row],[Tijd]],"00,000")</f>
        <v>00,000043,560</v>
      </c>
      <c r="Q12" t="str">
        <f>IF(IFERROR(VLOOKUP(Table13[[#This Row],[SNR]],Deelnemers[#Data],7,0),0)&lt;&gt;$C$4,"Loopt niet in deze groep!",IF(COUNTIF(Table13[SNR],Table13[[#This Row],[SNR]])&gt;1,"Dubbel",""))</f>
        <v/>
      </c>
    </row>
    <row r="13" spans="1:17" x14ac:dyDescent="0.2">
      <c r="A13">
        <f>IFERROR(VLOOKUP(Table13[[#This Row],[SNR]],Deelnemers[#Data],2,0),"")</f>
        <v>176702</v>
      </c>
      <c r="B13">
        <f>IF(VLOOKUP(Table13[[#This Row],[SNR]],Deelnemers[#Data],8,0)&gt;0,"BM",IF(Table13[[#This Row],[Score]]="Disk",0,MATCH(Table13[[#This Row],[Sorteren]],Table13[Sorteren],0)-COUNTIF($B$7:$B12,"BM")))</f>
        <v>6</v>
      </c>
      <c r="D13" t="str">
        <f>IFERROR(VLOOKUP(Table13[[#This Row],[SNR]],Deelnemers[#Data],3,0),"")</f>
        <v>Geertje Jalving</v>
      </c>
      <c r="E13" t="str">
        <f>IFERROR(VLOOKUP(Table13[[#This Row],[SNR]],Deelnemers[#Data],4,0),"")</f>
        <v>Diva</v>
      </c>
      <c r="F13" t="str">
        <f>IFERROR(VLOOKUP(Table13[[#This Row],[SNR]],Deelnemers[#Data],6,0),"")</f>
        <v>miniature american shepherd</v>
      </c>
      <c r="G13" s="8">
        <v>33</v>
      </c>
      <c r="H13" s="8">
        <v>43.58</v>
      </c>
      <c r="I13" s="8"/>
      <c r="J13" s="8"/>
      <c r="K13" s="8"/>
      <c r="L13" s="8"/>
      <c r="M13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0</v>
      </c>
      <c r="N13">
        <f>IFERROR(PRODUCT($F$4,1/Table13[[#This Row],[Tijd]]),0)</f>
        <v>3.9697108765488758</v>
      </c>
      <c r="O13">
        <f>SUM(Table13[[#This Row],[W]],Table13[[#This Row],[A]],Table13[[#This Row],[F]])*5</f>
        <v>0</v>
      </c>
      <c r="P13" t="str">
        <f>TEXT(Table13[[#This Row],[Score]],"00,00")&amp;TEXT(Table13[[#This Row],[Fouten]],"00")&amp;TEXT(Table13[[#This Row],[Tijd]],"00,000")</f>
        <v>00,000043,580</v>
      </c>
      <c r="Q13" t="str">
        <f>IF(IFERROR(VLOOKUP(Table13[[#This Row],[SNR]],Deelnemers[#Data],7,0),0)&lt;&gt;$C$4,"Loopt niet in deze groep!",IF(COUNTIF(Table13[SNR],Table13[[#This Row],[SNR]])&gt;1,"Dubbel",""))</f>
        <v/>
      </c>
    </row>
    <row r="14" spans="1:17" x14ac:dyDescent="0.2">
      <c r="A14">
        <f>IFERROR(VLOOKUP(Table13[[#This Row],[SNR]],Deelnemers[#Data],2,0),"")</f>
        <v>150770</v>
      </c>
      <c r="B14">
        <f>IF(VLOOKUP(Table13[[#This Row],[SNR]],Deelnemers[#Data],8,0)&gt;0,"BM",IF(Table13[[#This Row],[Score]]="Disk",0,MATCH(Table13[[#This Row],[Sorteren]],Table13[Sorteren],0)-COUNTIF($B$7:$B13,"BM")))</f>
        <v>7</v>
      </c>
      <c r="D14" t="str">
        <f>IFERROR(VLOOKUP(Table13[[#This Row],[SNR]],Deelnemers[#Data],3,0),"")</f>
        <v>Ellen Overtoom</v>
      </c>
      <c r="E14" t="str">
        <f>IFERROR(VLOOKUP(Table13[[#This Row],[SNR]],Deelnemers[#Data],4,0),"")</f>
        <v>Yindi</v>
      </c>
      <c r="F14" t="str">
        <f>IFERROR(VLOOKUP(Table13[[#This Row],[SNR]],Deelnemers[#Data],6,0),"")</f>
        <v>Border Collie</v>
      </c>
      <c r="G14" s="8">
        <v>49</v>
      </c>
      <c r="H14" s="8">
        <v>39.04</v>
      </c>
      <c r="I14" s="8"/>
      <c r="J14" s="8"/>
      <c r="K14" s="8">
        <v>1</v>
      </c>
      <c r="L14" s="8"/>
      <c r="M14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5</v>
      </c>
      <c r="N14">
        <f>IFERROR(PRODUCT($F$4,1/Table13[[#This Row],[Tijd]]),0)</f>
        <v>4.4313524590163933</v>
      </c>
      <c r="O14">
        <f>SUM(Table13[[#This Row],[W]],Table13[[#This Row],[A]],Table13[[#This Row],[F]])*5</f>
        <v>5</v>
      </c>
      <c r="P14" t="str">
        <f>TEXT(Table13[[#This Row],[Score]],"00,00")&amp;TEXT(Table13[[#This Row],[Fouten]],"00")&amp;TEXT(Table13[[#This Row],[Tijd]],"00,000")</f>
        <v>05,000539,040</v>
      </c>
      <c r="Q14" t="str">
        <f>IF(IFERROR(VLOOKUP(Table13[[#This Row],[SNR]],Deelnemers[#Data],7,0),0)&lt;&gt;$C$4,"Loopt niet in deze groep!",IF(COUNTIF(Table13[SNR],Table13[[#This Row],[SNR]])&gt;1,"Dubbel",""))</f>
        <v/>
      </c>
    </row>
    <row r="15" spans="1:17" x14ac:dyDescent="0.2">
      <c r="A15">
        <f>IFERROR(VLOOKUP(Table13[[#This Row],[SNR]],Deelnemers[#Data],2,0),"")</f>
        <v>430844</v>
      </c>
      <c r="B15">
        <f>IF(VLOOKUP(Table13[[#This Row],[SNR]],Deelnemers[#Data],8,0)&gt;0,"BM",IF(Table13[[#This Row],[Score]]="Disk",0,MATCH(Table13[[#This Row],[Sorteren]],Table13[Sorteren],0)-COUNTIF($B$7:$B14,"BM")))</f>
        <v>8</v>
      </c>
      <c r="D15" t="str">
        <f>IFERROR(VLOOKUP(Table13[[#This Row],[SNR]],Deelnemers[#Data],3,0),"")</f>
        <v>Esther Booker</v>
      </c>
      <c r="E15" t="str">
        <f>IFERROR(VLOOKUP(Table13[[#This Row],[SNR]],Deelnemers[#Data],4,0),"")</f>
        <v>Lientje</v>
      </c>
      <c r="F15" t="str">
        <f>IFERROR(VLOOKUP(Table13[[#This Row],[SNR]],Deelnemers[#Data],6,0),"")</f>
        <v>Nova Scotia Duck Tolling Retriever</v>
      </c>
      <c r="G15" s="8">
        <v>32</v>
      </c>
      <c r="H15" s="8">
        <v>41.18</v>
      </c>
      <c r="I15" s="8"/>
      <c r="J15" s="8"/>
      <c r="K15" s="8">
        <v>1</v>
      </c>
      <c r="L15" s="8"/>
      <c r="M15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5</v>
      </c>
      <c r="N15">
        <f>IFERROR(PRODUCT($F$4,1/Table13[[#This Row],[Tijd]]),0)</f>
        <v>4.2010684798445848</v>
      </c>
      <c r="O15">
        <f>SUM(Table13[[#This Row],[W]],Table13[[#This Row],[A]],Table13[[#This Row],[F]])*5</f>
        <v>5</v>
      </c>
      <c r="P15" t="str">
        <f>TEXT(Table13[[#This Row],[Score]],"00,00")&amp;TEXT(Table13[[#This Row],[Fouten]],"00")&amp;TEXT(Table13[[#This Row],[Tijd]],"00,000")</f>
        <v>05,000541,180</v>
      </c>
      <c r="Q15" t="str">
        <f>IF(IFERROR(VLOOKUP(Table13[[#This Row],[SNR]],Deelnemers[#Data],7,0),0)&lt;&gt;$C$4,"Loopt niet in deze groep!",IF(COUNTIF(Table13[SNR],Table13[[#This Row],[SNR]])&gt;1,"Dubbel",""))</f>
        <v/>
      </c>
    </row>
    <row r="16" spans="1:17" x14ac:dyDescent="0.2">
      <c r="A16">
        <f>IFERROR(VLOOKUP(Table13[[#This Row],[SNR]],Deelnemers[#Data],2,0),"")</f>
        <v>141216</v>
      </c>
      <c r="B16">
        <f>IF(VLOOKUP(Table13[[#This Row],[SNR]],Deelnemers[#Data],8,0)&gt;0,"BM",IF(Table13[[#This Row],[Score]]="Disk",0,MATCH(Table13[[#This Row],[Sorteren]],Table13[Sorteren],0)-COUNTIF($B$7:$B15,"BM")))</f>
        <v>9</v>
      </c>
      <c r="D16" t="str">
        <f>IFERROR(VLOOKUP(Table13[[#This Row],[SNR]],Deelnemers[#Data],3,0),"")</f>
        <v>Kim Pouls</v>
      </c>
      <c r="E16" t="str">
        <f>IFERROR(VLOOKUP(Table13[[#This Row],[SNR]],Deelnemers[#Data],4,0),"")</f>
        <v>Djazzy</v>
      </c>
      <c r="F16" t="str">
        <f>IFERROR(VLOOKUP(Table13[[#This Row],[SNR]],Deelnemers[#Data],6,0),"")</f>
        <v>Belgische Herdershond, Groenendaeler</v>
      </c>
      <c r="G16" s="8">
        <v>53</v>
      </c>
      <c r="H16" s="8">
        <v>43.98</v>
      </c>
      <c r="I16" s="8"/>
      <c r="J16" s="8"/>
      <c r="K16" s="8">
        <v>1</v>
      </c>
      <c r="L16" s="8"/>
      <c r="M16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5</v>
      </c>
      <c r="N16">
        <f>IFERROR(PRODUCT($F$4,1/Table13[[#This Row],[Tijd]]),0)</f>
        <v>3.9336061846293773</v>
      </c>
      <c r="O16">
        <f>SUM(Table13[[#This Row],[W]],Table13[[#This Row],[A]],Table13[[#This Row],[F]])*5</f>
        <v>5</v>
      </c>
      <c r="P16" t="str">
        <f>TEXT(Table13[[#This Row],[Score]],"00,00")&amp;TEXT(Table13[[#This Row],[Fouten]],"00")&amp;TEXT(Table13[[#This Row],[Tijd]],"00,000")</f>
        <v>05,000543,980</v>
      </c>
      <c r="Q16" t="str">
        <f>IF(IFERROR(VLOOKUP(Table13[[#This Row],[SNR]],Deelnemers[#Data],7,0),0)&lt;&gt;$C$4,"Loopt niet in deze groep!",IF(COUNTIF(Table13[SNR],Table13[[#This Row],[SNR]])&gt;1,"Dubbel",""))</f>
        <v/>
      </c>
    </row>
    <row r="17" spans="1:17" x14ac:dyDescent="0.2">
      <c r="A17">
        <f>IFERROR(VLOOKUP(Table13[[#This Row],[SNR]],Deelnemers[#Data],2,0),"")</f>
        <v>170739</v>
      </c>
      <c r="B17">
        <f>IF(VLOOKUP(Table13[[#This Row],[SNR]],Deelnemers[#Data],8,0)&gt;0,"BM",IF(Table13[[#This Row],[Score]]="Disk",0,MATCH(Table13[[#This Row],[Sorteren]],Table13[Sorteren],0)-COUNTIF($B$7:$B16,"BM")))</f>
        <v>10</v>
      </c>
      <c r="D17" t="str">
        <f>IFERROR(VLOOKUP(Table13[[#This Row],[SNR]],Deelnemers[#Data],3,0),"")</f>
        <v>Lorena Speksnijder</v>
      </c>
      <c r="E17" t="str">
        <f>IFERROR(VLOOKUP(Table13[[#This Row],[SNR]],Deelnemers[#Data],4,0),"")</f>
        <v>Sam</v>
      </c>
      <c r="F17" t="str">
        <f>IFERROR(VLOOKUP(Table13[[#This Row],[SNR]],Deelnemers[#Data],6,0),"")</f>
        <v>kruising border collie x sheltie</v>
      </c>
      <c r="G17" s="8">
        <v>35</v>
      </c>
      <c r="H17" s="8">
        <v>49.24</v>
      </c>
      <c r="I17" s="8"/>
      <c r="J17" s="8"/>
      <c r="K17" s="8">
        <v>1</v>
      </c>
      <c r="L17" s="8"/>
      <c r="M17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6.240000000000002</v>
      </c>
      <c r="N17">
        <f>IFERROR(PRODUCT($F$4,1/Table13[[#This Row],[Tijd]]),0)</f>
        <v>3.5134037367993498</v>
      </c>
      <c r="O17">
        <f>SUM(Table13[[#This Row],[W]],Table13[[#This Row],[A]],Table13[[#This Row],[F]])*5</f>
        <v>5</v>
      </c>
      <c r="P17" t="str">
        <f>TEXT(Table13[[#This Row],[Score]],"00,00")&amp;TEXT(Table13[[#This Row],[Fouten]],"00")&amp;TEXT(Table13[[#This Row],[Tijd]],"00,000")</f>
        <v>06,240549,240</v>
      </c>
      <c r="Q17" t="str">
        <f>IF(IFERROR(VLOOKUP(Table13[[#This Row],[SNR]],Deelnemers[#Data],7,0),0)&lt;&gt;$C$4,"Loopt niet in deze groep!",IF(COUNTIF(Table13[SNR],Table13[[#This Row],[SNR]])&gt;1,"Dubbel",""))</f>
        <v/>
      </c>
    </row>
    <row r="18" spans="1:17" x14ac:dyDescent="0.2">
      <c r="A18">
        <f>IFERROR(VLOOKUP(Table13[[#This Row],[SNR]],Deelnemers[#Data],2,0),"")</f>
        <v>155780</v>
      </c>
      <c r="B18">
        <f>IF(VLOOKUP(Table13[[#This Row],[SNR]],Deelnemers[#Data],8,0)&gt;0,"BM",IF(Table13[[#This Row],[Score]]="Disk",0,MATCH(Table13[[#This Row],[Sorteren]],Table13[Sorteren],0)-COUNTIF($B$7:$B17,"BM")))</f>
        <v>11</v>
      </c>
      <c r="D18" t="str">
        <f>IFERROR(VLOOKUP(Table13[[#This Row],[SNR]],Deelnemers[#Data],3,0),"")</f>
        <v>Caitlin van Zaanen</v>
      </c>
      <c r="E18" t="str">
        <f>IFERROR(VLOOKUP(Table13[[#This Row],[SNR]],Deelnemers[#Data],4,0),"")</f>
        <v>Chanti</v>
      </c>
      <c r="F18" t="str">
        <f>IFERROR(VLOOKUP(Table13[[#This Row],[SNR]],Deelnemers[#Data],6,0),"")</f>
        <v>Hovawart</v>
      </c>
      <c r="G18" s="8">
        <v>36</v>
      </c>
      <c r="H18" s="8">
        <v>53.62</v>
      </c>
      <c r="I18" s="8"/>
      <c r="J18" s="8"/>
      <c r="K18" s="8">
        <v>1</v>
      </c>
      <c r="L18" s="8"/>
      <c r="M18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10.619999999999997</v>
      </c>
      <c r="N18">
        <f>IFERROR(PRODUCT($F$4,1/Table13[[#This Row],[Tijd]]),0)</f>
        <v>3.2264080566952629</v>
      </c>
      <c r="O18">
        <f>SUM(Table13[[#This Row],[W]],Table13[[#This Row],[A]],Table13[[#This Row],[F]])*5</f>
        <v>5</v>
      </c>
      <c r="P18" t="str">
        <f>TEXT(Table13[[#This Row],[Score]],"00,00")&amp;TEXT(Table13[[#This Row],[Fouten]],"00")&amp;TEXT(Table13[[#This Row],[Tijd]],"00,000")</f>
        <v>10,620553,620</v>
      </c>
      <c r="Q18" t="str">
        <f>IF(IFERROR(VLOOKUP(Table13[[#This Row],[SNR]],Deelnemers[#Data],7,0),0)&lt;&gt;$C$4,"Loopt niet in deze groep!",IF(COUNTIF(Table13[SNR],Table13[[#This Row],[SNR]])&gt;1,"Dubbel",""))</f>
        <v/>
      </c>
    </row>
    <row r="19" spans="1:17" x14ac:dyDescent="0.2">
      <c r="A19">
        <f>IFERROR(VLOOKUP(Table13[[#This Row],[SNR]],Deelnemers[#Data],2,0),"")</f>
        <v>155063</v>
      </c>
      <c r="B19">
        <f>IF(VLOOKUP(Table13[[#This Row],[SNR]],Deelnemers[#Data],8,0)&gt;0,"BM",IF(Table13[[#This Row],[Score]]="Disk",0,MATCH(Table13[[#This Row],[Sorteren]],Table13[Sorteren],0)-COUNTIF($B$7:$B18,"BM")))</f>
        <v>12</v>
      </c>
      <c r="D19" t="str">
        <f>IFERROR(VLOOKUP(Table13[[#This Row],[SNR]],Deelnemers[#Data],3,0),"")</f>
        <v>Reina Cominotto - Roerink</v>
      </c>
      <c r="E19" t="str">
        <f>IFERROR(VLOOKUP(Table13[[#This Row],[SNR]],Deelnemers[#Data],4,0),"")</f>
        <v>Djamila</v>
      </c>
      <c r="F19" t="str">
        <f>IFERROR(VLOOKUP(Table13[[#This Row],[SNR]],Deelnemers[#Data],6,0),"")</f>
        <v>Briard</v>
      </c>
      <c r="G19" s="8">
        <v>37</v>
      </c>
      <c r="H19" s="8">
        <v>52.52</v>
      </c>
      <c r="I19" s="8">
        <v>1</v>
      </c>
      <c r="J19" s="8"/>
      <c r="K19" s="8">
        <v>1</v>
      </c>
      <c r="L19" s="8"/>
      <c r="M19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14.520000000000003</v>
      </c>
      <c r="N19">
        <f>IFERROR(PRODUCT($F$4,1/Table13[[#This Row],[Tijd]]),0)</f>
        <v>3.2939832444782939</v>
      </c>
      <c r="O19">
        <f>SUM(Table13[[#This Row],[W]],Table13[[#This Row],[A]],Table13[[#This Row],[F]])*5</f>
        <v>10</v>
      </c>
      <c r="P19" t="str">
        <f>TEXT(Table13[[#This Row],[Score]],"00,00")&amp;TEXT(Table13[[#This Row],[Fouten]],"00")&amp;TEXT(Table13[[#This Row],[Tijd]],"00,000")</f>
        <v>14,521052,520</v>
      </c>
      <c r="Q19" t="str">
        <f>IF(IFERROR(VLOOKUP(Table13[[#This Row],[SNR]],Deelnemers[#Data],7,0),0)&lt;&gt;$C$4,"Loopt niet in deze groep!",IF(COUNTIF(Table13[SNR],Table13[[#This Row],[SNR]])&gt;1,"Dubbel",""))</f>
        <v/>
      </c>
    </row>
    <row r="20" spans="1:17" x14ac:dyDescent="0.2">
      <c r="A20">
        <f>IFERROR(VLOOKUP(Table13[[#This Row],[SNR]],Deelnemers[#Data],2,0),"")</f>
        <v>161772</v>
      </c>
      <c r="B20">
        <f>IF(VLOOKUP(Table13[[#This Row],[SNR]],Deelnemers[#Data],8,0)&gt;0,"BM",IF(Table13[[#This Row],[Score]]="Disk",0,MATCH(Table13[[#This Row],[Sorteren]],Table13[Sorteren],0)-COUNTIF($B$7:$B19,"BM")))</f>
        <v>13</v>
      </c>
      <c r="D20" t="str">
        <f>IFERROR(VLOOKUP(Table13[[#This Row],[SNR]],Deelnemers[#Data],3,0),"")</f>
        <v>Geertje Gorter</v>
      </c>
      <c r="E20" t="str">
        <f>IFERROR(VLOOKUP(Table13[[#This Row],[SNR]],Deelnemers[#Data],4,0),"")</f>
        <v>Tansy</v>
      </c>
      <c r="F20" t="str">
        <f>IFERROR(VLOOKUP(Table13[[#This Row],[SNR]],Deelnemers[#Data],6,0),"")</f>
        <v>Border Collie</v>
      </c>
      <c r="G20" s="8">
        <v>47</v>
      </c>
      <c r="H20" s="8">
        <v>42.38</v>
      </c>
      <c r="I20" s="8"/>
      <c r="J20" s="8"/>
      <c r="K20" s="8">
        <v>3</v>
      </c>
      <c r="L20" s="8"/>
      <c r="M20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15</v>
      </c>
      <c r="N20">
        <f>IFERROR(PRODUCT($F$4,1/Table13[[#This Row],[Tijd]]),0)</f>
        <v>4.0821142048135908</v>
      </c>
      <c r="O20">
        <f>SUM(Table13[[#This Row],[W]],Table13[[#This Row],[A]],Table13[[#This Row],[F]])*5</f>
        <v>15</v>
      </c>
      <c r="P20" t="str">
        <f>TEXT(Table13[[#This Row],[Score]],"00,00")&amp;TEXT(Table13[[#This Row],[Fouten]],"00")&amp;TEXT(Table13[[#This Row],[Tijd]],"00,000")</f>
        <v>15,001542,380</v>
      </c>
      <c r="Q20" t="str">
        <f>IF(IFERROR(VLOOKUP(Table13[[#This Row],[SNR]],Deelnemers[#Data],7,0),0)&lt;&gt;$C$4,"Loopt niet in deze groep!",IF(COUNTIF(Table13[SNR],Table13[[#This Row],[SNR]])&gt;1,"Dubbel",""))</f>
        <v/>
      </c>
    </row>
    <row r="21" spans="1:17" x14ac:dyDescent="0.2">
      <c r="A21">
        <f>IFERROR(VLOOKUP(Table13[[#This Row],[SNR]],Deelnemers[#Data],2,0),"")</f>
        <v>150339</v>
      </c>
      <c r="B21">
        <f>IF(VLOOKUP(Table13[[#This Row],[SNR]],Deelnemers[#Data],8,0)&gt;0,"BM",IF(Table13[[#This Row],[Score]]="Disk",0,MATCH(Table13[[#This Row],[Sorteren]],Table13[Sorteren],0)-COUNTIF($B$7:$B20,"BM")))</f>
        <v>14</v>
      </c>
      <c r="D21" t="str">
        <f>IFERROR(VLOOKUP(Table13[[#This Row],[SNR]],Deelnemers[#Data],3,0),"")</f>
        <v>Lisa de Gooijer</v>
      </c>
      <c r="E21" t="str">
        <f>IFERROR(VLOOKUP(Table13[[#This Row],[SNR]],Deelnemers[#Data],4,0),"")</f>
        <v>Pollux</v>
      </c>
      <c r="F21" t="str">
        <f>IFERROR(VLOOKUP(Table13[[#This Row],[SNR]],Deelnemers[#Data],6,0),"")</f>
        <v>Australian Kelpie</v>
      </c>
      <c r="G21" s="8">
        <v>60</v>
      </c>
      <c r="H21" s="8">
        <v>45.86</v>
      </c>
      <c r="I21" s="8"/>
      <c r="J21" s="8"/>
      <c r="K21" s="8">
        <v>3</v>
      </c>
      <c r="L21" s="8"/>
      <c r="M21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15</v>
      </c>
      <c r="N21">
        <f>IFERROR(PRODUCT($F$4,1/Table13[[#This Row],[Tijd]]),0)</f>
        <v>3.772350632359355</v>
      </c>
      <c r="O21">
        <f>SUM(Table13[[#This Row],[W]],Table13[[#This Row],[A]],Table13[[#This Row],[F]])*5</f>
        <v>15</v>
      </c>
      <c r="P21" t="str">
        <f>TEXT(Table13[[#This Row],[Score]],"00,00")&amp;TEXT(Table13[[#This Row],[Fouten]],"00")&amp;TEXT(Table13[[#This Row],[Tijd]],"00,000")</f>
        <v>15,001545,860</v>
      </c>
      <c r="Q21" t="str">
        <f>IF(IFERROR(VLOOKUP(Table13[[#This Row],[SNR]],Deelnemers[#Data],7,0),0)&lt;&gt;$C$4,"Loopt niet in deze groep!",IF(COUNTIF(Table13[SNR],Table13[[#This Row],[SNR]])&gt;1,"Dubbel",""))</f>
        <v/>
      </c>
    </row>
    <row r="22" spans="1:17" x14ac:dyDescent="0.2">
      <c r="A22">
        <f>IFERROR(VLOOKUP(Table13[[#This Row],[SNR]],Deelnemers[#Data],2,0),"")</f>
        <v>165247</v>
      </c>
      <c r="B22">
        <f>IF(VLOOKUP(Table13[[#This Row],[SNR]],Deelnemers[#Data],8,0)&gt;0,"BM",IF(Table13[[#This Row],[Score]]="Disk",0,MATCH(Table13[[#This Row],[Sorteren]],Table13[Sorteren],0)-COUNTIF($B$7:$B21,"BM")))</f>
        <v>15</v>
      </c>
      <c r="D22" t="str">
        <f>IFERROR(VLOOKUP(Table13[[#This Row],[SNR]],Deelnemers[#Data],3,0),"")</f>
        <v>Lenie Henrion Verpoorten</v>
      </c>
      <c r="E22" t="str">
        <f>IFERROR(VLOOKUP(Table13[[#This Row],[SNR]],Deelnemers[#Data],4,0),"")</f>
        <v>Mellan</v>
      </c>
      <c r="F22" t="str">
        <f>IFERROR(VLOOKUP(Table13[[#This Row],[SNR]],Deelnemers[#Data],6,0),"")</f>
        <v>Australian Shepherd</v>
      </c>
      <c r="G22" s="8">
        <v>57</v>
      </c>
      <c r="H22" s="8">
        <v>49.76</v>
      </c>
      <c r="I22" s="8"/>
      <c r="J22" s="8"/>
      <c r="K22" s="8">
        <v>4</v>
      </c>
      <c r="L22" s="8"/>
      <c r="M22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21.759999999999998</v>
      </c>
      <c r="N22">
        <f>IFERROR(PRODUCT($F$4,1/Table13[[#This Row],[Tijd]]),0)</f>
        <v>3.476688102893891</v>
      </c>
      <c r="O22">
        <f>SUM(Table13[[#This Row],[W]],Table13[[#This Row],[A]],Table13[[#This Row],[F]])*5</f>
        <v>20</v>
      </c>
      <c r="P22" t="str">
        <f>TEXT(Table13[[#This Row],[Score]],"00,00")&amp;TEXT(Table13[[#This Row],[Fouten]],"00")&amp;TEXT(Table13[[#This Row],[Tijd]],"00,000")</f>
        <v>21,762049,760</v>
      </c>
      <c r="Q22" t="str">
        <f>IF(IFERROR(VLOOKUP(Table13[[#This Row],[SNR]],Deelnemers[#Data],7,0),0)&lt;&gt;$C$4,"Loopt niet in deze groep!",IF(COUNTIF(Table13[SNR],Table13[[#This Row],[SNR]])&gt;1,"Dubbel",""))</f>
        <v/>
      </c>
    </row>
    <row r="23" spans="1:17" x14ac:dyDescent="0.2">
      <c r="A23">
        <f>IFERROR(VLOOKUP(Table13[[#This Row],[SNR]],Deelnemers[#Data],2,0),"")</f>
        <v>164895</v>
      </c>
      <c r="B23">
        <f>IF(VLOOKUP(Table13[[#This Row],[SNR]],Deelnemers[#Data],8,0)&gt;0,"BM",IF(Table13[[#This Row],[Score]]="Disk",0,MATCH(Table13[[#This Row],[Sorteren]],Table13[Sorteren],0)-COUNTIF($B$7:$B22,"BM")))</f>
        <v>16</v>
      </c>
      <c r="D23" t="str">
        <f>IFERROR(VLOOKUP(Table13[[#This Row],[SNR]],Deelnemers[#Data],3,0),"")</f>
        <v>Margreet Derksen</v>
      </c>
      <c r="E23" t="str">
        <f>IFERROR(VLOOKUP(Table13[[#This Row],[SNR]],Deelnemers[#Data],4,0),"")</f>
        <v>Sky</v>
      </c>
      <c r="F23" t="str">
        <f>IFERROR(VLOOKUP(Table13[[#This Row],[SNR]],Deelnemers[#Data],6,0),"")</f>
        <v>australian shepherd</v>
      </c>
      <c r="G23" s="8">
        <v>58</v>
      </c>
      <c r="H23" s="8">
        <v>49.86</v>
      </c>
      <c r="I23" s="8">
        <v>1</v>
      </c>
      <c r="J23" s="8"/>
      <c r="K23" s="8">
        <v>4</v>
      </c>
      <c r="L23" s="8"/>
      <c r="M23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26.86</v>
      </c>
      <c r="N23">
        <f>IFERROR(PRODUCT($F$4,1/Table13[[#This Row],[Tijd]]),0)</f>
        <v>3.4697152025671882</v>
      </c>
      <c r="O23">
        <f>SUM(Table13[[#This Row],[W]],Table13[[#This Row],[A]],Table13[[#This Row],[F]])*5</f>
        <v>25</v>
      </c>
      <c r="P23" t="str">
        <f>TEXT(Table13[[#This Row],[Score]],"00,00")&amp;TEXT(Table13[[#This Row],[Fouten]],"00")&amp;TEXT(Table13[[#This Row],[Tijd]],"00,000")</f>
        <v>26,862549,860</v>
      </c>
      <c r="Q23" t="str">
        <f>IF(IFERROR(VLOOKUP(Table13[[#This Row],[SNR]],Deelnemers[#Data],7,0),0)&lt;&gt;$C$4,"Loopt niet in deze groep!",IF(COUNTIF(Table13[SNR],Table13[[#This Row],[SNR]])&gt;1,"Dubbel",""))</f>
        <v/>
      </c>
    </row>
    <row r="24" spans="1:17" x14ac:dyDescent="0.2">
      <c r="A24">
        <f>IFERROR(VLOOKUP(Table13[[#This Row],[SNR]],Deelnemers[#Data],2,0),"")</f>
        <v>163686</v>
      </c>
      <c r="B24">
        <f>IF(VLOOKUP(Table13[[#This Row],[SNR]],Deelnemers[#Data],8,0)&gt;0,"BM",IF(Table13[[#This Row],[Score]]="Disk",0,MATCH(Table13[[#This Row],[Sorteren]],Table13[Sorteren],0)-COUNTIF($B$7:$B23,"BM")))</f>
        <v>17</v>
      </c>
      <c r="D24" t="str">
        <f>IFERROR(VLOOKUP(Table13[[#This Row],[SNR]],Deelnemers[#Data],3,0),"")</f>
        <v>Melanie Freriksen</v>
      </c>
      <c r="E24" t="str">
        <f>IFERROR(VLOOKUP(Table13[[#This Row],[SNR]],Deelnemers[#Data],4,0),"")</f>
        <v>Woezel</v>
      </c>
      <c r="F24" t="str">
        <f>IFERROR(VLOOKUP(Table13[[#This Row],[SNR]],Deelnemers[#Data],6,0),"")</f>
        <v>Amerikaanse Staffordshire Terriër</v>
      </c>
      <c r="G24" s="8">
        <v>61</v>
      </c>
      <c r="H24" s="8">
        <v>74.3</v>
      </c>
      <c r="I24" s="8"/>
      <c r="J24" s="8"/>
      <c r="K24" s="8">
        <v>2</v>
      </c>
      <c r="L24" s="8"/>
      <c r="M24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36.299999999999997</v>
      </c>
      <c r="N24">
        <f>IFERROR(PRODUCT($F$4,1/Table13[[#This Row],[Tijd]]),0)</f>
        <v>2.328398384925976</v>
      </c>
      <c r="O24">
        <f>SUM(Table13[[#This Row],[W]],Table13[[#This Row],[A]],Table13[[#This Row],[F]])*5</f>
        <v>10</v>
      </c>
      <c r="P24" t="str">
        <f>TEXT(Table13[[#This Row],[Score]],"00,00")&amp;TEXT(Table13[[#This Row],[Fouten]],"00")&amp;TEXT(Table13[[#This Row],[Tijd]],"00,000")</f>
        <v>36,301074,300</v>
      </c>
      <c r="Q24" t="str">
        <f>IF(IFERROR(VLOOKUP(Table13[[#This Row],[SNR]],Deelnemers[#Data],7,0),0)&lt;&gt;$C$4,"Loopt niet in deze groep!",IF(COUNTIF(Table13[SNR],Table13[[#This Row],[SNR]])&gt;1,"Dubbel",""))</f>
        <v/>
      </c>
    </row>
    <row r="25" spans="1:17" x14ac:dyDescent="0.2">
      <c r="A25">
        <f>IFERROR(VLOOKUP(Table13[[#This Row],[SNR]],Deelnemers[#Data],2,0),"")</f>
        <v>403676</v>
      </c>
      <c r="B25">
        <f>IF(VLOOKUP(Table13[[#This Row],[SNR]],Deelnemers[#Data],8,0)&gt;0,"BM",IF(Table13[[#This Row],[Score]]="Disk",0,MATCH(Table13[[#This Row],[Sorteren]],Table13[Sorteren],0)-COUNTIF($B$7:$B24,"BM")))</f>
        <v>0</v>
      </c>
      <c r="D25" t="str">
        <f>IFERROR(VLOOKUP(Table13[[#This Row],[SNR]],Deelnemers[#Data],3,0),"")</f>
        <v>José Bijleveld-Zwiers</v>
      </c>
      <c r="E25" t="str">
        <f>IFERROR(VLOOKUP(Table13[[#This Row],[SNR]],Deelnemers[#Data],4,0),"")</f>
        <v>Shiva</v>
      </c>
      <c r="F25" t="str">
        <f>IFERROR(VLOOKUP(Table13[[#This Row],[SNR]],Deelnemers[#Data],6,0),"")</f>
        <v>Schotse Herdershond, Langhaar</v>
      </c>
      <c r="G25">
        <v>31</v>
      </c>
      <c r="L25" t="s">
        <v>326</v>
      </c>
      <c r="M25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25">
        <f>IFERROR(PRODUCT($F$4,1/Table13[[#This Row],[Tijd]]),0)</f>
        <v>0</v>
      </c>
      <c r="O25">
        <f>SUM(Table13[[#This Row],[W]],Table13[[#This Row],[A]],Table13[[#This Row],[F]])*5</f>
        <v>0</v>
      </c>
      <c r="P25" t="str">
        <f>TEXT(Table13[[#This Row],[Score]],"00,00")&amp;TEXT(Table13[[#This Row],[Fouten]],"00")&amp;TEXT(Table13[[#This Row],[Tijd]],"00,000")</f>
        <v>Disk0000,000</v>
      </c>
      <c r="Q25" t="str">
        <f>IF(IFERROR(VLOOKUP(Table13[[#This Row],[SNR]],Deelnemers[#Data],7,0),0)&lt;&gt;$C$4,"Loopt niet in deze groep!",IF(COUNTIF(Table13[SNR],Table13[[#This Row],[SNR]])&gt;1,"Dubbel",""))</f>
        <v/>
      </c>
    </row>
    <row r="26" spans="1:17" x14ac:dyDescent="0.2">
      <c r="A26">
        <f>IFERROR(VLOOKUP(Table13[[#This Row],[SNR]],Deelnemers[#Data],2,0),"")</f>
        <v>172332</v>
      </c>
      <c r="B26">
        <f>IF(VLOOKUP(Table13[[#This Row],[SNR]],Deelnemers[#Data],8,0)&gt;0,"BM",IF(Table13[[#This Row],[Score]]="Disk",0,MATCH(Table13[[#This Row],[Sorteren]],Table13[Sorteren],0)-COUNTIF($B$7:$B25,"BM")))</f>
        <v>0</v>
      </c>
      <c r="D26" t="str">
        <f>IFERROR(VLOOKUP(Table13[[#This Row],[SNR]],Deelnemers[#Data],3,0),"")</f>
        <v>Priscilla Bax</v>
      </c>
      <c r="E26" t="str">
        <f>IFERROR(VLOOKUP(Table13[[#This Row],[SNR]],Deelnemers[#Data],4,0),"")</f>
        <v>Shakes</v>
      </c>
      <c r="F26" t="str">
        <f>IFERROR(VLOOKUP(Table13[[#This Row],[SNR]],Deelnemers[#Data],6,0),"")</f>
        <v>Labrador Retriever</v>
      </c>
      <c r="G26" s="8">
        <v>34</v>
      </c>
      <c r="H26" s="8"/>
      <c r="I26" s="8"/>
      <c r="J26" s="8"/>
      <c r="K26" s="8"/>
      <c r="L26" s="8" t="s">
        <v>326</v>
      </c>
      <c r="M26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26">
        <f>IFERROR(PRODUCT($F$4,1/Table13[[#This Row],[Tijd]]),0)</f>
        <v>0</v>
      </c>
      <c r="O26">
        <f>SUM(Table13[[#This Row],[W]],Table13[[#This Row],[A]],Table13[[#This Row],[F]])*5</f>
        <v>0</v>
      </c>
      <c r="P26" t="str">
        <f>TEXT(Table13[[#This Row],[Score]],"00,00")&amp;TEXT(Table13[[#This Row],[Fouten]],"00")&amp;TEXT(Table13[[#This Row],[Tijd]],"00,000")</f>
        <v>Disk0000,000</v>
      </c>
      <c r="Q26" t="str">
        <f>IF(IFERROR(VLOOKUP(Table13[[#This Row],[SNR]],Deelnemers[#Data],7,0),0)&lt;&gt;$C$4,"Loopt niet in deze groep!",IF(COUNTIF(Table13[SNR],Table13[[#This Row],[SNR]])&gt;1,"Dubbel",""))</f>
        <v/>
      </c>
    </row>
    <row r="27" spans="1:17" x14ac:dyDescent="0.2">
      <c r="A27">
        <f>IFERROR(VLOOKUP(Table13[[#This Row],[SNR]],Deelnemers[#Data],2,0),"")</f>
        <v>400073</v>
      </c>
      <c r="B27">
        <f>IF(VLOOKUP(Table13[[#This Row],[SNR]],Deelnemers[#Data],8,0)&gt;0,"BM",IF(Table13[[#This Row],[Score]]="Disk",0,MATCH(Table13[[#This Row],[Sorteren]],Table13[Sorteren],0)-COUNTIF($B$7:$B26,"BM")))</f>
        <v>0</v>
      </c>
      <c r="D27" t="str">
        <f>IFERROR(VLOOKUP(Table13[[#This Row],[SNR]],Deelnemers[#Data],3,0),"")</f>
        <v>Koos Lith</v>
      </c>
      <c r="E27" t="str">
        <f>IFERROR(VLOOKUP(Table13[[#This Row],[SNR]],Deelnemers[#Data],4,0),"")</f>
        <v>Ice</v>
      </c>
      <c r="F27" t="str">
        <f>IFERROR(VLOOKUP(Table13[[#This Row],[SNR]],Deelnemers[#Data],6,0),"")</f>
        <v>Border Collie</v>
      </c>
      <c r="G27" s="8">
        <v>39</v>
      </c>
      <c r="H27" s="8"/>
      <c r="I27" s="8"/>
      <c r="J27" s="8"/>
      <c r="K27" s="8"/>
      <c r="L27" s="8" t="s">
        <v>326</v>
      </c>
      <c r="M27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27">
        <f>IFERROR(PRODUCT($F$4,1/Table13[[#This Row],[Tijd]]),0)</f>
        <v>0</v>
      </c>
      <c r="O27">
        <f>SUM(Table13[[#This Row],[W]],Table13[[#This Row],[A]],Table13[[#This Row],[F]])*5</f>
        <v>0</v>
      </c>
      <c r="P27" t="str">
        <f>TEXT(Table13[[#This Row],[Score]],"00,00")&amp;TEXT(Table13[[#This Row],[Fouten]],"00")&amp;TEXT(Table13[[#This Row],[Tijd]],"00,000")</f>
        <v>Disk0000,000</v>
      </c>
      <c r="Q27" t="str">
        <f>IF(IFERROR(VLOOKUP(Table13[[#This Row],[SNR]],Deelnemers[#Data],7,0),0)&lt;&gt;$C$4,"Loopt niet in deze groep!",IF(COUNTIF(Table13[SNR],Table13[[#This Row],[SNR]])&gt;1,"Dubbel",""))</f>
        <v/>
      </c>
    </row>
    <row r="28" spans="1:17" x14ac:dyDescent="0.2">
      <c r="A28">
        <f>IFERROR(VLOOKUP(Table13[[#This Row],[SNR]],Deelnemers[#Data],2,0),"")</f>
        <v>415396</v>
      </c>
      <c r="B28">
        <f>IF(VLOOKUP(Table13[[#This Row],[SNR]],Deelnemers[#Data],8,0)&gt;0,"BM",IF(Table13[[#This Row],[Score]]="Disk",0,MATCH(Table13[[#This Row],[Sorteren]],Table13[Sorteren],0)-COUNTIF($B$7:$B27,"BM")))</f>
        <v>0</v>
      </c>
      <c r="D28" t="str">
        <f>IFERROR(VLOOKUP(Table13[[#This Row],[SNR]],Deelnemers[#Data],3,0),"")</f>
        <v>Erik Stoeten</v>
      </c>
      <c r="E28" t="str">
        <f>IFERROR(VLOOKUP(Table13[[#This Row],[SNR]],Deelnemers[#Data],4,0),"")</f>
        <v>Chu´a</v>
      </c>
      <c r="F28" t="str">
        <f>IFERROR(VLOOKUP(Table13[[#This Row],[SNR]],Deelnemers[#Data],6,0),"")</f>
        <v>Border Collie</v>
      </c>
      <c r="G28" s="8">
        <v>40</v>
      </c>
      <c r="H28" s="8"/>
      <c r="I28" s="8"/>
      <c r="J28" s="8"/>
      <c r="K28" s="8"/>
      <c r="L28" s="8" t="s">
        <v>326</v>
      </c>
      <c r="M28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28">
        <f>IFERROR(PRODUCT($F$4,1/Table13[[#This Row],[Tijd]]),0)</f>
        <v>0</v>
      </c>
      <c r="O28">
        <f>SUM(Table13[[#This Row],[W]],Table13[[#This Row],[A]],Table13[[#This Row],[F]])*5</f>
        <v>0</v>
      </c>
      <c r="P28" t="str">
        <f>TEXT(Table13[[#This Row],[Score]],"00,00")&amp;TEXT(Table13[[#This Row],[Fouten]],"00")&amp;TEXT(Table13[[#This Row],[Tijd]],"00,000")</f>
        <v>Disk0000,000</v>
      </c>
      <c r="Q28" t="str">
        <f>IF(IFERROR(VLOOKUP(Table13[[#This Row],[SNR]],Deelnemers[#Data],7,0),0)&lt;&gt;$C$4,"Loopt niet in deze groep!",IF(COUNTIF(Table13[SNR],Table13[[#This Row],[SNR]])&gt;1,"Dubbel",""))</f>
        <v/>
      </c>
    </row>
    <row r="29" spans="1:17" x14ac:dyDescent="0.2">
      <c r="A29">
        <f>IFERROR(VLOOKUP(Table13[[#This Row],[SNR]],Deelnemers[#Data],2,0),"")</f>
        <v>160474</v>
      </c>
      <c r="B29">
        <f>IF(VLOOKUP(Table13[[#This Row],[SNR]],Deelnemers[#Data],8,0)&gt;0,"BM",IF(Table13[[#This Row],[Score]]="Disk",0,MATCH(Table13[[#This Row],[Sorteren]],Table13[Sorteren],0)-COUNTIF($B$7:$B28,"BM")))</f>
        <v>0</v>
      </c>
      <c r="D29" t="str">
        <f>IFERROR(VLOOKUP(Table13[[#This Row],[SNR]],Deelnemers[#Data],3,0),"")</f>
        <v>Danique Lagerwaard</v>
      </c>
      <c r="E29" t="str">
        <f>IFERROR(VLOOKUP(Table13[[#This Row],[SNR]],Deelnemers[#Data],4,0),"")</f>
        <v>NOYTCB MORE</v>
      </c>
      <c r="F29" t="str">
        <f>IFERROR(VLOOKUP(Table13[[#This Row],[SNR]],Deelnemers[#Data],6,0),"")</f>
        <v>Border Collie</v>
      </c>
      <c r="G29" s="8">
        <v>41</v>
      </c>
      <c r="H29" s="8"/>
      <c r="I29" s="8"/>
      <c r="J29" s="8"/>
      <c r="K29" s="8"/>
      <c r="L29" s="8" t="s">
        <v>326</v>
      </c>
      <c r="M29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29">
        <f>IFERROR(PRODUCT($F$4,1/Table13[[#This Row],[Tijd]]),0)</f>
        <v>0</v>
      </c>
      <c r="O29">
        <f>SUM(Table13[[#This Row],[W]],Table13[[#This Row],[A]],Table13[[#This Row],[F]])*5</f>
        <v>0</v>
      </c>
      <c r="P29" t="str">
        <f>TEXT(Table13[[#This Row],[Score]],"00,00")&amp;TEXT(Table13[[#This Row],[Fouten]],"00")&amp;TEXT(Table13[[#This Row],[Tijd]],"00,000")</f>
        <v>Disk0000,000</v>
      </c>
      <c r="Q29" t="str">
        <f>IF(IFERROR(VLOOKUP(Table13[[#This Row],[SNR]],Deelnemers[#Data],7,0),0)&lt;&gt;$C$4,"Loopt niet in deze groep!",IF(COUNTIF(Table13[SNR],Table13[[#This Row],[SNR]])&gt;1,"Dubbel",""))</f>
        <v/>
      </c>
    </row>
    <row r="30" spans="1:17" x14ac:dyDescent="0.2">
      <c r="A30">
        <f>IFERROR(VLOOKUP(Table13[[#This Row],[SNR]],Deelnemers[#Data],2,0),"")</f>
        <v>163473</v>
      </c>
      <c r="B30">
        <f>IF(VLOOKUP(Table13[[#This Row],[SNR]],Deelnemers[#Data],8,0)&gt;0,"BM",IF(Table13[[#This Row],[Score]]="Disk",0,MATCH(Table13[[#This Row],[Sorteren]],Table13[Sorteren],0)-COUNTIF($B$7:$B29,"BM")))</f>
        <v>0</v>
      </c>
      <c r="D30" t="str">
        <f>IFERROR(VLOOKUP(Table13[[#This Row],[SNR]],Deelnemers[#Data],3,0),"")</f>
        <v>Sinne Tolsma</v>
      </c>
      <c r="E30" t="str">
        <f>IFERROR(VLOOKUP(Table13[[#This Row],[SNR]],Deelnemers[#Data],4,0),"")</f>
        <v>Zembla</v>
      </c>
      <c r="F30" t="str">
        <f>IFERROR(VLOOKUP(Table13[[#This Row],[SNR]],Deelnemers[#Data],6,0),"")</f>
        <v>Border Collie</v>
      </c>
      <c r="G30" s="8">
        <v>42</v>
      </c>
      <c r="H30" s="8"/>
      <c r="I30" s="8"/>
      <c r="J30" s="8"/>
      <c r="K30" s="8"/>
      <c r="L30" s="8" t="s">
        <v>326</v>
      </c>
      <c r="M30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30">
        <f>IFERROR(PRODUCT($F$4,1/Table13[[#This Row],[Tijd]]),0)</f>
        <v>0</v>
      </c>
      <c r="O30">
        <f>SUM(Table13[[#This Row],[W]],Table13[[#This Row],[A]],Table13[[#This Row],[F]])*5</f>
        <v>0</v>
      </c>
      <c r="P30" t="str">
        <f>TEXT(Table13[[#This Row],[Score]],"00,00")&amp;TEXT(Table13[[#This Row],[Fouten]],"00")&amp;TEXT(Table13[[#This Row],[Tijd]],"00,000")</f>
        <v>Disk0000,000</v>
      </c>
      <c r="Q30" t="str">
        <f>IF(IFERROR(VLOOKUP(Table13[[#This Row],[SNR]],Deelnemers[#Data],7,0),0)&lt;&gt;$C$4,"Loopt niet in deze groep!",IF(COUNTIF(Table13[SNR],Table13[[#This Row],[SNR]])&gt;1,"Dubbel",""))</f>
        <v/>
      </c>
    </row>
    <row r="31" spans="1:17" x14ac:dyDescent="0.2">
      <c r="A31">
        <f>IFERROR(VLOOKUP(Table13[[#This Row],[SNR]],Deelnemers[#Data],2,0),"")</f>
        <v>412818</v>
      </c>
      <c r="B31">
        <f>IF(VLOOKUP(Table13[[#This Row],[SNR]],Deelnemers[#Data],8,0)&gt;0,"BM",IF(Table13[[#This Row],[Score]]="Disk",0,MATCH(Table13[[#This Row],[Sorteren]],Table13[Sorteren],0)-COUNTIF($B$7:$B30,"BM")))</f>
        <v>0</v>
      </c>
      <c r="D31" t="str">
        <f>IFERROR(VLOOKUP(Table13[[#This Row],[SNR]],Deelnemers[#Data],3,0),"")</f>
        <v>Ariena vd Veen</v>
      </c>
      <c r="E31" t="str">
        <f>IFERROR(VLOOKUP(Table13[[#This Row],[SNR]],Deelnemers[#Data],4,0),"")</f>
        <v>Boss</v>
      </c>
      <c r="F31" t="str">
        <f>IFERROR(VLOOKUP(Table13[[#This Row],[SNR]],Deelnemers[#Data],6,0),"")</f>
        <v>Border Collie</v>
      </c>
      <c r="G31" s="8">
        <v>46</v>
      </c>
      <c r="H31" s="8"/>
      <c r="I31" s="8"/>
      <c r="J31" s="8"/>
      <c r="K31" s="8"/>
      <c r="L31" s="8" t="s">
        <v>326</v>
      </c>
      <c r="M31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31">
        <f>IFERROR(PRODUCT($F$4,1/Table13[[#This Row],[Tijd]]),0)</f>
        <v>0</v>
      </c>
      <c r="O31">
        <f>SUM(Table13[[#This Row],[W]],Table13[[#This Row],[A]],Table13[[#This Row],[F]])*5</f>
        <v>0</v>
      </c>
      <c r="P31" t="str">
        <f>TEXT(Table13[[#This Row],[Score]],"00,00")&amp;TEXT(Table13[[#This Row],[Fouten]],"00")&amp;TEXT(Table13[[#This Row],[Tijd]],"00,000")</f>
        <v>Disk0000,000</v>
      </c>
      <c r="Q31" t="str">
        <f>IF(IFERROR(VLOOKUP(Table13[[#This Row],[SNR]],Deelnemers[#Data],7,0),0)&lt;&gt;$C$4,"Loopt niet in deze groep!",IF(COUNTIF(Table13[SNR],Table13[[#This Row],[SNR]])&gt;1,"Dubbel",""))</f>
        <v/>
      </c>
    </row>
    <row r="32" spans="1:17" x14ac:dyDescent="0.2">
      <c r="A32">
        <f>IFERROR(VLOOKUP(Table13[[#This Row],[SNR]],Deelnemers[#Data],2,0),"")</f>
        <v>163961</v>
      </c>
      <c r="B32">
        <f>IF(VLOOKUP(Table13[[#This Row],[SNR]],Deelnemers[#Data],8,0)&gt;0,"BM",IF(Table13[[#This Row],[Score]]="Disk",0,MATCH(Table13[[#This Row],[Sorteren]],Table13[Sorteren],0)-COUNTIF($B$7:$B31,"BM")))</f>
        <v>0</v>
      </c>
      <c r="D32" t="str">
        <f>IFERROR(VLOOKUP(Table13[[#This Row],[SNR]],Deelnemers[#Data],3,0),"")</f>
        <v>Peter Kemper</v>
      </c>
      <c r="E32" t="str">
        <f>IFERROR(VLOOKUP(Table13[[#This Row],[SNR]],Deelnemers[#Data],4,0),"")</f>
        <v>Spûnk</v>
      </c>
      <c r="F32" t="str">
        <f>IFERROR(VLOOKUP(Table13[[#This Row],[SNR]],Deelnemers[#Data],6,0),"")</f>
        <v>Border Collie</v>
      </c>
      <c r="G32" s="8">
        <v>48</v>
      </c>
      <c r="H32" s="8"/>
      <c r="I32" s="8"/>
      <c r="J32" s="8"/>
      <c r="K32" s="8"/>
      <c r="L32" s="8" t="s">
        <v>326</v>
      </c>
      <c r="M32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32">
        <f>IFERROR(PRODUCT($F$4,1/Table13[[#This Row],[Tijd]]),0)</f>
        <v>0</v>
      </c>
      <c r="O32">
        <f>SUM(Table13[[#This Row],[W]],Table13[[#This Row],[A]],Table13[[#This Row],[F]])*5</f>
        <v>0</v>
      </c>
      <c r="P32" t="str">
        <f>TEXT(Table13[[#This Row],[Score]],"00,00")&amp;TEXT(Table13[[#This Row],[Fouten]],"00")&amp;TEXT(Table13[[#This Row],[Tijd]],"00,000")</f>
        <v>Disk0000,000</v>
      </c>
      <c r="Q32" t="str">
        <f>IF(IFERROR(VLOOKUP(Table13[[#This Row],[SNR]],Deelnemers[#Data],7,0),0)&lt;&gt;$C$4,"Loopt niet in deze groep!",IF(COUNTIF(Table13[SNR],Table13[[#This Row],[SNR]])&gt;1,"Dubbel",""))</f>
        <v/>
      </c>
    </row>
    <row r="33" spans="1:17" x14ac:dyDescent="0.2">
      <c r="A33">
        <f>IFERROR(VLOOKUP(Table13[[#This Row],[SNR]],Deelnemers[#Data],2,0),"")</f>
        <v>172642</v>
      </c>
      <c r="B33">
        <f>IF(VLOOKUP(Table13[[#This Row],[SNR]],Deelnemers[#Data],8,0)&gt;0,"BM",IF(Table13[[#This Row],[Score]]="Disk",0,MATCH(Table13[[#This Row],[Sorteren]],Table13[Sorteren],0)-COUNTIF($B$7:$B32,"BM")))</f>
        <v>0</v>
      </c>
      <c r="D33" t="str">
        <f>IFERROR(VLOOKUP(Table13[[#This Row],[SNR]],Deelnemers[#Data],3,0),"")</f>
        <v>Jaap Bijleveld</v>
      </c>
      <c r="E33" t="str">
        <f>IFERROR(VLOOKUP(Table13[[#This Row],[SNR]],Deelnemers[#Data],4,0),"")</f>
        <v>Sairaid</v>
      </c>
      <c r="F33" t="str">
        <f>IFERROR(VLOOKUP(Table13[[#This Row],[SNR]],Deelnemers[#Data],6,0),"")</f>
        <v>Border Collie</v>
      </c>
      <c r="G33" s="8">
        <v>50</v>
      </c>
      <c r="H33" s="8"/>
      <c r="I33" s="8"/>
      <c r="J33" s="8"/>
      <c r="K33" s="8"/>
      <c r="L33" s="8" t="s">
        <v>326</v>
      </c>
      <c r="M33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33">
        <f>IFERROR(PRODUCT($F$4,1/Table13[[#This Row],[Tijd]]),0)</f>
        <v>0</v>
      </c>
      <c r="O33">
        <f>SUM(Table13[[#This Row],[W]],Table13[[#This Row],[A]],Table13[[#This Row],[F]])*5</f>
        <v>0</v>
      </c>
      <c r="P33" t="str">
        <f>TEXT(Table13[[#This Row],[Score]],"00,00")&amp;TEXT(Table13[[#This Row],[Fouten]],"00")&amp;TEXT(Table13[[#This Row],[Tijd]],"00,000")</f>
        <v>Disk0000,000</v>
      </c>
      <c r="Q33" t="str">
        <f>IF(IFERROR(VLOOKUP(Table13[[#This Row],[SNR]],Deelnemers[#Data],7,0),0)&lt;&gt;$C$4,"Loopt niet in deze groep!",IF(COUNTIF(Table13[SNR],Table13[[#This Row],[SNR]])&gt;1,"Dubbel",""))</f>
        <v/>
      </c>
    </row>
    <row r="34" spans="1:17" x14ac:dyDescent="0.2">
      <c r="A34">
        <f>IFERROR(VLOOKUP(Table13[[#This Row],[SNR]],Deelnemers[#Data],2,0),"")</f>
        <v>154504</v>
      </c>
      <c r="B34">
        <f>IF(VLOOKUP(Table13[[#This Row],[SNR]],Deelnemers[#Data],8,0)&gt;0,"BM",IF(Table13[[#This Row],[Score]]="Disk",0,MATCH(Table13[[#This Row],[Sorteren]],Table13[Sorteren],0)-COUNTIF($B$7:$B33,"BM")))</f>
        <v>0</v>
      </c>
      <c r="D34" t="str">
        <f>IFERROR(VLOOKUP(Table13[[#This Row],[SNR]],Deelnemers[#Data],3,0),"")</f>
        <v>Seppie Jansma</v>
      </c>
      <c r="E34" t="str">
        <f>IFERROR(VLOOKUP(Table13[[#This Row],[SNR]],Deelnemers[#Data],4,0),"")</f>
        <v>Isa</v>
      </c>
      <c r="F34" t="str">
        <f>IFERROR(VLOOKUP(Table13[[#This Row],[SNR]],Deelnemers[#Data],6,0),"")</f>
        <v>Belgische Herdershond, Mechelse</v>
      </c>
      <c r="G34" s="8">
        <v>52</v>
      </c>
      <c r="H34" s="8"/>
      <c r="I34" s="8"/>
      <c r="J34" s="8"/>
      <c r="K34" s="8"/>
      <c r="L34" s="8" t="s">
        <v>326</v>
      </c>
      <c r="M34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34">
        <f>IFERROR(PRODUCT($F$4,1/Table13[[#This Row],[Tijd]]),0)</f>
        <v>0</v>
      </c>
      <c r="O34">
        <f>SUM(Table13[[#This Row],[W]],Table13[[#This Row],[A]],Table13[[#This Row],[F]])*5</f>
        <v>0</v>
      </c>
      <c r="P34" t="str">
        <f>TEXT(Table13[[#This Row],[Score]],"00,00")&amp;TEXT(Table13[[#This Row],[Fouten]],"00")&amp;TEXT(Table13[[#This Row],[Tijd]],"00,000")</f>
        <v>Disk0000,000</v>
      </c>
      <c r="Q34" t="str">
        <f>IF(IFERROR(VLOOKUP(Table13[[#This Row],[SNR]],Deelnemers[#Data],7,0),0)&lt;&gt;$C$4,"Loopt niet in deze groep!",IF(COUNTIF(Table13[SNR],Table13[[#This Row],[SNR]])&gt;1,"Dubbel",""))</f>
        <v/>
      </c>
    </row>
    <row r="35" spans="1:17" x14ac:dyDescent="0.2">
      <c r="A35">
        <f>IFERROR(VLOOKUP(Table13[[#This Row],[SNR]],Deelnemers[#Data],2,0),"")</f>
        <v>170542</v>
      </c>
      <c r="B35">
        <f>IF(VLOOKUP(Table13[[#This Row],[SNR]],Deelnemers[#Data],8,0)&gt;0,"BM",IF(Table13[[#This Row],[Score]]="Disk",0,MATCH(Table13[[#This Row],[Sorteren]],Table13[Sorteren],0)-COUNTIF($B$7:$B34,"BM")))</f>
        <v>0</v>
      </c>
      <c r="D35" t="str">
        <f>IFERROR(VLOOKUP(Table13[[#This Row],[SNR]],Deelnemers[#Data],3,0),"")</f>
        <v>Gert Meerholz</v>
      </c>
      <c r="E35" t="str">
        <f>IFERROR(VLOOKUP(Table13[[#This Row],[SNR]],Deelnemers[#Data],4,0),"")</f>
        <v>Kika</v>
      </c>
      <c r="F35" t="str">
        <f>IFERROR(VLOOKUP(Table13[[#This Row],[SNR]],Deelnemers[#Data],6,0),"")</f>
        <v>Belgische Herdershond, Groenendaeler</v>
      </c>
      <c r="G35" s="8">
        <v>54</v>
      </c>
      <c r="H35" s="8"/>
      <c r="I35" s="8"/>
      <c r="J35" s="8"/>
      <c r="K35" s="8"/>
      <c r="L35" s="8" t="s">
        <v>326</v>
      </c>
      <c r="M35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35">
        <f>IFERROR(PRODUCT($F$4,1/Table13[[#This Row],[Tijd]]),0)</f>
        <v>0</v>
      </c>
      <c r="O35">
        <f>SUM(Table13[[#This Row],[W]],Table13[[#This Row],[A]],Table13[[#This Row],[F]])*5</f>
        <v>0</v>
      </c>
      <c r="P35" t="str">
        <f>TEXT(Table13[[#This Row],[Score]],"00,00")&amp;TEXT(Table13[[#This Row],[Fouten]],"00")&amp;TEXT(Table13[[#This Row],[Tijd]],"00,000")</f>
        <v>Disk0000,000</v>
      </c>
      <c r="Q35" t="str">
        <f>IF(IFERROR(VLOOKUP(Table13[[#This Row],[SNR]],Deelnemers[#Data],7,0),0)&lt;&gt;$C$4,"Loopt niet in deze groep!",IF(COUNTIF(Table13[SNR],Table13[[#This Row],[SNR]])&gt;1,"Dubbel",""))</f>
        <v/>
      </c>
    </row>
    <row r="36" spans="1:17" x14ac:dyDescent="0.2">
      <c r="A36">
        <f>IFERROR(VLOOKUP(Table13[[#This Row],[SNR]],Deelnemers[#Data],2,0),"")</f>
        <v>165468</v>
      </c>
      <c r="B36">
        <f>IF(VLOOKUP(Table13[[#This Row],[SNR]],Deelnemers[#Data],8,0)&gt;0,"BM",IF(Table13[[#This Row],[Score]]="Disk",0,MATCH(Table13[[#This Row],[Sorteren]],Table13[Sorteren],0)-COUNTIF($B$7:$B35,"BM")))</f>
        <v>0</v>
      </c>
      <c r="D36" t="str">
        <f>IFERROR(VLOOKUP(Table13[[#This Row],[SNR]],Deelnemers[#Data],3,0),"")</f>
        <v>Marjolein Burggraaf</v>
      </c>
      <c r="E36" t="str">
        <f>IFERROR(VLOOKUP(Table13[[#This Row],[SNR]],Deelnemers[#Data],4,0),"")</f>
        <v>Abby</v>
      </c>
      <c r="F36" t="str">
        <f>IFERROR(VLOOKUP(Table13[[#This Row],[SNR]],Deelnemers[#Data],6,0),"")</f>
        <v>Australian Shepherd</v>
      </c>
      <c r="G36" s="8">
        <v>59</v>
      </c>
      <c r="H36" s="8"/>
      <c r="I36" s="8"/>
      <c r="J36" s="8"/>
      <c r="K36" s="8"/>
      <c r="L36" s="8" t="s">
        <v>326</v>
      </c>
      <c r="M36" t="str">
        <f>IF(OR(ISNUMBER(SEARCH("Jumping", $C$5)),ISNUMBER(SEARCH("Vast Parcours", $C$5)), ISNUMBER(SEARCH("NKT", $C$5))),IF(OR(Table13[[#This Row],[Disk]]&gt;0,Table13[[#This Row],[W]]&gt;=3,Table13[[#This Row],[Tijd]]&gt;$F$3),"Disk",IF(ISBLANK(Table13[[#This Row],[Tijd]]),"",Table13[[#This Row],[Fouten]]+MAX(0,Table13[[#This Row],[Tijd]]-$F$2))),"-")</f>
        <v>Disk</v>
      </c>
      <c r="N36">
        <f>IFERROR(PRODUCT($F$4,1/Table13[[#This Row],[Tijd]]),0)</f>
        <v>0</v>
      </c>
      <c r="O36">
        <f>SUM(Table13[[#This Row],[W]],Table13[[#This Row],[A]],Table13[[#This Row],[F]])*5</f>
        <v>0</v>
      </c>
      <c r="P36" t="str">
        <f>TEXT(Table13[[#This Row],[Score]],"00,00")&amp;TEXT(Table13[[#This Row],[Fouten]],"00")&amp;TEXT(Table13[[#This Row],[Tijd]],"00,000")</f>
        <v>Disk0000,000</v>
      </c>
      <c r="Q36" t="str">
        <f>IF(IFERROR(VLOOKUP(Table13[[#This Row],[SNR]],Deelnemers[#Data],7,0),0)&lt;&gt;$C$4,"Loopt niet in deze groep!",IF(COUNTIF(Table13[SNR],Table13[[#This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25" priority="2">
      <formula>LEN(TRIM(F1))=0</formula>
    </cfRule>
  </conditionalFormatting>
  <conditionalFormatting sqref="F2:F4">
    <cfRule type="containsBlanks" dxfId="124" priority="1">
      <formula>LEN(TRIM(F2))=0</formula>
    </cfRule>
  </conditionalFormatting>
  <dataValidations count="2">
    <dataValidation type="list" allowBlank="1" showInputMessage="1" showErrorMessage="1" sqref="C4" xr:uid="{00000000-0002-0000-0D00-000000000000}">
      <formula1>GroepLijst</formula1>
    </dataValidation>
    <dataValidation type="list" allowBlank="1" showInputMessage="1" showErrorMessage="1" sqref="F1" xr:uid="{75B5CF2F-B0BD-8240-B416-8C711BAB6E2F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12"/>
  <sheetViews>
    <sheetView workbookViewId="0">
      <selection activeCell="F2" sqref="F2:F4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9">
        <v>38</v>
      </c>
      <c r="G2" t="s">
        <v>308</v>
      </c>
      <c r="H2" s="12" t="str">
        <f>$C$4</f>
        <v>2ᵉ graad Medium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9">
        <v>65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4</v>
      </c>
      <c r="D4" s="13"/>
      <c r="E4" t="s">
        <v>310</v>
      </c>
      <c r="F4" s="9">
        <v>141</v>
      </c>
      <c r="G4" t="s">
        <v>311</v>
      </c>
      <c r="H4" s="12" t="str">
        <f>$C$5</f>
        <v>Jumping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305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IFERROR(VLOOKUP(Table14[[#This Row],[SNR]],Deelnemers[#Data],2,0),"")</f>
        <v>162035</v>
      </c>
      <c r="B8">
        <f>IF(VLOOKUP(Table14[[#This Row],[SNR]],Deelnemers[#Data],8,0)&gt;0,"BM",IF(Table14[[#This Row],[Score]]="Disk",0,MATCH(Table14[[#This Row],[Sorteren]],Table14[Sorteren],0)-COUNTIF($B$7:$B7,"BM")))</f>
        <v>1</v>
      </c>
      <c r="D8" t="str">
        <f>IFERROR(VLOOKUP(Table14[[#This Row],[SNR]],Deelnemers[#Data],3,0),"")</f>
        <v>Petra Brandjes</v>
      </c>
      <c r="E8" t="str">
        <f>IFERROR(VLOOKUP(Table14[[#This Row],[SNR]],Deelnemers[#Data],4,0),"")</f>
        <v>Tink</v>
      </c>
      <c r="F8" t="str">
        <f>IFERROR(VLOOKUP(Table14[[#This Row],[SNR]],Deelnemers[#Data],6,0),"")</f>
        <v>Oostenrijkse Pinscher</v>
      </c>
      <c r="G8">
        <v>26</v>
      </c>
      <c r="H8">
        <v>27.43</v>
      </c>
      <c r="M8">
        <f>IF(OR(ISNUMBER(SEARCH("Jumping", $C$5)),ISNUMBER(SEARCH("Vast Parcours", $C$5)), ISNUMBER(SEARCH("NKT", $C$5))),IF(OR(Table14[[#This Row],[Disk]]&gt;0,Table14[[#This Row],[W]]&gt;=3,Table14[[#This Row],[Tijd]]&gt;$F$3),"Disk",IF(ISBLANK(Table14[[#This Row],[Tijd]]),"",Table14[[#This Row],[Fouten]]+MAX(0,Table14[[#This Row],[Tijd]]-$F$2))),"-")</f>
        <v>0</v>
      </c>
      <c r="N8">
        <f>IFERROR(PRODUCT($F$4,1/Table14[[#This Row],[Tijd]]),0)</f>
        <v>5.1403572730586946</v>
      </c>
      <c r="O8">
        <f>SUM(Table14[[#This Row],[W]],Table14[[#This Row],[A]],Table14[[#This Row],[F]])*5</f>
        <v>0</v>
      </c>
      <c r="P8" t="str">
        <f>TEXT(Table14[[#This Row],[Score]],"00,00")&amp;TEXT(Table14[[#This Row],[Fouten]],"00")&amp;TEXT(Table14[[#This Row],[Tijd]],"00,000")</f>
        <v>00,000027,430</v>
      </c>
      <c r="Q8" t="str">
        <f>IF(IFERROR(VLOOKUP(Table14[[#This Row],[SNR]],Deelnemers[#Data],7,0),0)&lt;&gt;$C$4,"Loopt niet in deze groep!",IF(COUNTIF(Table14[SNR],Table14[[#This Row],[SNR]])&gt;1,"Dubbel",""))</f>
        <v/>
      </c>
    </row>
    <row r="9" spans="1:17" x14ac:dyDescent="0.2">
      <c r="A9">
        <f>IFERROR(VLOOKUP(Table14[[#This Row],[SNR]],Deelnemers[#Data],2,0),"")</f>
        <v>143588</v>
      </c>
      <c r="B9">
        <f>IF(VLOOKUP(Table14[[#This Row],[SNR]],Deelnemers[#Data],8,0)&gt;0,"BM",IF(Table14[[#This Row],[Score]]="Disk",0,MATCH(Table14[[#This Row],[Sorteren]],Table14[Sorteren],0)-COUNTIF($B$7:$B8,"BM")))</f>
        <v>2</v>
      </c>
      <c r="D9" t="str">
        <f>IFERROR(VLOOKUP(Table14[[#This Row],[SNR]],Deelnemers[#Data],3,0),"")</f>
        <v>Marja de Voogd</v>
      </c>
      <c r="E9" t="str">
        <f>IFERROR(VLOOKUP(Table14[[#This Row],[SNR]],Deelnemers[#Data],4,0),"")</f>
        <v>Katie</v>
      </c>
      <c r="F9" t="str">
        <f>IFERROR(VLOOKUP(Table14[[#This Row],[SNR]],Deelnemers[#Data],6,0),"")</f>
        <v>nederlandse schapendoes</v>
      </c>
      <c r="G9" s="9">
        <v>27</v>
      </c>
      <c r="H9" s="9">
        <v>33.76</v>
      </c>
      <c r="I9" s="9"/>
      <c r="J9" s="9"/>
      <c r="K9" s="9"/>
      <c r="L9" s="9"/>
      <c r="M9">
        <f>IF(OR(ISNUMBER(SEARCH("Jumping", $C$5)),ISNUMBER(SEARCH("Vast Parcours", $C$5)), ISNUMBER(SEARCH("NKT", $C$5))),IF(OR(Table14[[#This Row],[Disk]]&gt;0,Table14[[#This Row],[W]]&gt;=3,Table14[[#This Row],[Tijd]]&gt;$F$3),"Disk",IF(ISBLANK(Table14[[#This Row],[Tijd]]),"",Table14[[#This Row],[Fouten]]+MAX(0,Table14[[#This Row],[Tijd]]-$F$2))),"-")</f>
        <v>0</v>
      </c>
      <c r="N9">
        <f>IFERROR(PRODUCT($F$4,1/Table14[[#This Row],[Tijd]]),0)</f>
        <v>4.1765402843601898</v>
      </c>
      <c r="O9">
        <f>SUM(Table14[[#This Row],[W]],Table14[[#This Row],[A]],Table14[[#This Row],[F]])*5</f>
        <v>0</v>
      </c>
      <c r="P9" t="str">
        <f>TEXT(Table14[[#This Row],[Score]],"00,00")&amp;TEXT(Table14[[#This Row],[Fouten]],"00")&amp;TEXT(Table14[[#This Row],[Tijd]],"00,000")</f>
        <v>00,000033,760</v>
      </c>
      <c r="Q9" t="str">
        <f>IF(IFERROR(VLOOKUP(Table14[[#This Row],[SNR]],Deelnemers[#Data],7,0),0)&lt;&gt;$C$4,"Loopt niet in deze groep!",IF(COUNTIF(Table14[SNR],Table14[[#This Row],[SNR]])&gt;1,"Dubbel",""))</f>
        <v/>
      </c>
    </row>
    <row r="10" spans="1:17" x14ac:dyDescent="0.2">
      <c r="A10">
        <f>IFERROR(VLOOKUP(Table14[[#This Row],[SNR]],Deelnemers[#Data],2,0),"")</f>
        <v>432638</v>
      </c>
      <c r="B10">
        <f>IF(VLOOKUP(Table14[[#This Row],[SNR]],Deelnemers[#Data],8,0)&gt;0,"BM",IF(Table14[[#This Row],[Score]]="Disk",0,MATCH(Table14[[#This Row],[Sorteren]],Table14[Sorteren],0)-COUNTIF($B$7:$B9,"BM")))</f>
        <v>3</v>
      </c>
      <c r="D10" t="str">
        <f>IFERROR(VLOOKUP(Table14[[#This Row],[SNR]],Deelnemers[#Data],3,0),"")</f>
        <v>Christina Smit</v>
      </c>
      <c r="E10" t="str">
        <f>IFERROR(VLOOKUP(Table14[[#This Row],[SNR]],Deelnemers[#Data],4,0),"")</f>
        <v>Chiva</v>
      </c>
      <c r="F10" t="str">
        <f>IFERROR(VLOOKUP(Table14[[#This Row],[SNR]],Deelnemers[#Data],6,0),"")</f>
        <v>jack russell terriër</v>
      </c>
      <c r="G10" s="9">
        <v>29</v>
      </c>
      <c r="H10" s="9">
        <v>44.88</v>
      </c>
      <c r="I10" s="9"/>
      <c r="J10" s="9"/>
      <c r="K10" s="9"/>
      <c r="L10" s="9"/>
      <c r="M10">
        <f>IF(OR(ISNUMBER(SEARCH("Jumping", $C$5)),ISNUMBER(SEARCH("Vast Parcours", $C$5)), ISNUMBER(SEARCH("NKT", $C$5))),IF(OR(Table14[[#This Row],[Disk]]&gt;0,Table14[[#This Row],[W]]&gt;=3,Table14[[#This Row],[Tijd]]&gt;$F$3),"Disk",IF(ISBLANK(Table14[[#This Row],[Tijd]]),"",Table14[[#This Row],[Fouten]]+MAX(0,Table14[[#This Row],[Tijd]]-$F$2))),"-")</f>
        <v>6.8800000000000026</v>
      </c>
      <c r="N10">
        <f>IFERROR(PRODUCT($F$4,1/Table14[[#This Row],[Tijd]]),0)</f>
        <v>3.141711229946524</v>
      </c>
      <c r="O10">
        <f>SUM(Table14[[#This Row],[W]],Table14[[#This Row],[A]],Table14[[#This Row],[F]])*5</f>
        <v>0</v>
      </c>
      <c r="P10" t="str">
        <f>TEXT(Table14[[#This Row],[Score]],"00,00")&amp;TEXT(Table14[[#This Row],[Fouten]],"00")&amp;TEXT(Table14[[#This Row],[Tijd]],"00,000")</f>
        <v>06,880044,880</v>
      </c>
      <c r="Q10" t="str">
        <f>IF(IFERROR(VLOOKUP(Table14[[#This Row],[SNR]],Deelnemers[#Data],7,0),0)&lt;&gt;$C$4,"Loopt niet in deze groep!",IF(COUNTIF(Table14[SNR],Table14[[#This Row],[SNR]])&gt;1,"Dubbel",""))</f>
        <v/>
      </c>
    </row>
    <row r="11" spans="1:17" x14ac:dyDescent="0.2">
      <c r="A11">
        <f>IFERROR(VLOOKUP(Table14[[#This Row],[SNR]],Deelnemers[#Data],2,0),"")</f>
        <v>154709</v>
      </c>
      <c r="B11">
        <f>IF(VLOOKUP(Table14[[#This Row],[SNR]],Deelnemers[#Data],8,0)&gt;0,"BM",IF(Table14[[#This Row],[Score]]="Disk",0,MATCH(Table14[[#This Row],[Sorteren]],Table14[Sorteren],0)-COUNTIF($B$7:$B10,"BM")))</f>
        <v>0</v>
      </c>
      <c r="D11" t="str">
        <f>IFERROR(VLOOKUP(Table14[[#This Row],[SNR]],Deelnemers[#Data],3,0),"")</f>
        <v>Gisèle Kdise</v>
      </c>
      <c r="E11" t="str">
        <f>IFERROR(VLOOKUP(Table14[[#This Row],[SNR]],Deelnemers[#Data],4,0),"")</f>
        <v>Lily</v>
      </c>
      <c r="F11" t="str">
        <f>IFERROR(VLOOKUP(Table14[[#This Row],[SNR]],Deelnemers[#Data],6,0),"")</f>
        <v>Kooikerhondje</v>
      </c>
      <c r="G11" s="9">
        <v>28</v>
      </c>
      <c r="H11" s="9"/>
      <c r="I11" s="9"/>
      <c r="J11" s="9"/>
      <c r="K11" s="9"/>
      <c r="L11" s="9" t="s">
        <v>326</v>
      </c>
      <c r="M11" t="str">
        <f>IF(OR(ISNUMBER(SEARCH("Jumping", $C$5)),ISNUMBER(SEARCH("Vast Parcours", $C$5)), ISNUMBER(SEARCH("NKT", $C$5))),IF(OR(Table14[[#This Row],[Disk]]&gt;0,Table14[[#This Row],[W]]&gt;=3,Table14[[#This Row],[Tijd]]&gt;$F$3),"Disk",IF(ISBLANK(Table14[[#This Row],[Tijd]]),"",Table14[[#This Row],[Fouten]]+MAX(0,Table14[[#This Row],[Tijd]]-$F$2))),"-")</f>
        <v>Disk</v>
      </c>
      <c r="N11">
        <f>IFERROR(PRODUCT($F$4,1/Table14[[#This Row],[Tijd]]),0)</f>
        <v>0</v>
      </c>
      <c r="O11">
        <f>SUM(Table14[[#This Row],[W]],Table14[[#This Row],[A]],Table14[[#This Row],[F]])*5</f>
        <v>0</v>
      </c>
      <c r="P11" t="str">
        <f>TEXT(Table14[[#This Row],[Score]],"00,00")&amp;TEXT(Table14[[#This Row],[Fouten]],"00")&amp;TEXT(Table14[[#This Row],[Tijd]],"00,000")</f>
        <v>Disk0000,000</v>
      </c>
      <c r="Q11" t="str">
        <f>IF(IFERROR(VLOOKUP(Table14[[#This Row],[SNR]],Deelnemers[#Data],7,0),0)&lt;&gt;$C$4,"Loopt niet in deze groep!",IF(COUNTIF(Table14[SNR],Table14[[#This Row],[SNR]])&gt;1,"Dubbel",""))</f>
        <v/>
      </c>
    </row>
    <row r="12" spans="1:17" x14ac:dyDescent="0.2">
      <c r="A12">
        <f>IFERROR(VLOOKUP(Table14[[#This Row],[SNR]],Deelnemers[#Data],2,0),"")</f>
        <v>173606</v>
      </c>
      <c r="B12">
        <f>IF(VLOOKUP(Table14[[#This Row],[SNR]],Deelnemers[#Data],8,0)&gt;0,"BM",IF(Table14[[#This Row],[Score]]="Disk",0,MATCH(Table14[[#This Row],[Sorteren]],Table14[Sorteren],0)-COUNTIF($B$7:$B11,"BM")))</f>
        <v>0</v>
      </c>
      <c r="D12" t="str">
        <f>IFERROR(VLOOKUP(Table14[[#This Row],[SNR]],Deelnemers[#Data],3,0),"")</f>
        <v>Susan Mouwen-Ophorst</v>
      </c>
      <c r="E12" t="str">
        <f>IFERROR(VLOOKUP(Table14[[#This Row],[SNR]],Deelnemers[#Data],4,0),"")</f>
        <v>Bessie</v>
      </c>
      <c r="F12" t="str">
        <f>IFERROR(VLOOKUP(Table14[[#This Row],[SNR]],Deelnemers[#Data],6,0),"")</f>
        <v>Border Collie</v>
      </c>
      <c r="G12" s="9">
        <v>30</v>
      </c>
      <c r="H12" s="9"/>
      <c r="I12" s="9"/>
      <c r="J12" s="9"/>
      <c r="K12" s="9"/>
      <c r="L12" s="9" t="s">
        <v>326</v>
      </c>
      <c r="M12" t="str">
        <f>IF(OR(ISNUMBER(SEARCH("Jumping", $C$5)),ISNUMBER(SEARCH("Vast Parcours", $C$5)), ISNUMBER(SEARCH("NKT", $C$5))),IF(OR(Table14[[#This Row],[Disk]]&gt;0,Table14[[#This Row],[W]]&gt;=3,Table14[[#This Row],[Tijd]]&gt;$F$3),"Disk",IF(ISBLANK(Table14[[#This Row],[Tijd]]),"",Table14[[#This Row],[Fouten]]+MAX(0,Table14[[#This Row],[Tijd]]-$F$2))),"-")</f>
        <v>Disk</v>
      </c>
      <c r="N12">
        <f>IFERROR(PRODUCT($F$4,1/Table14[[#This Row],[Tijd]]),0)</f>
        <v>0</v>
      </c>
      <c r="O12">
        <f>SUM(Table14[[#This Row],[W]],Table14[[#This Row],[A]],Table14[[#This Row],[F]])*5</f>
        <v>0</v>
      </c>
      <c r="P12" t="str">
        <f>TEXT(Table14[[#This Row],[Score]],"00,00")&amp;TEXT(Table14[[#This Row],[Fouten]],"00")&amp;TEXT(Table14[[#This Row],[Tijd]],"00,000")</f>
        <v>Disk0000,000</v>
      </c>
      <c r="Q12" t="str">
        <f>IF(IFERROR(VLOOKUP(Table14[[#This Row],[SNR]],Deelnemers[#Data],7,0),0)&lt;&gt;$C$4,"Loopt niet in deze groep!",IF(COUNTIF(Table14[SNR],Table14[[#This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17" priority="2">
      <formula>LEN(TRIM(F1))=0</formula>
    </cfRule>
  </conditionalFormatting>
  <conditionalFormatting sqref="F2:F4">
    <cfRule type="containsBlanks" dxfId="116" priority="1">
      <formula>LEN(TRIM(F2))=0</formula>
    </cfRule>
  </conditionalFormatting>
  <dataValidations count="2">
    <dataValidation type="list" allowBlank="1" showInputMessage="1" showErrorMessage="1" sqref="C4" xr:uid="{00000000-0002-0000-0E00-000000000000}">
      <formula1>GroepLijst</formula1>
    </dataValidation>
    <dataValidation type="list" allowBlank="1" showInputMessage="1" showErrorMessage="1" sqref="F1" xr:uid="{F18E09BA-5031-3C41-B9B1-EEEAFF925C79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2"/>
  <sheetViews>
    <sheetView workbookViewId="0">
      <selection activeCell="A13" sqref="A13:XFD21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4">
        <v>50</v>
      </c>
      <c r="G2" t="s">
        <v>308</v>
      </c>
      <c r="H2" s="12" t="str">
        <f>$C$4</f>
        <v>2ᵉ graad Medium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4">
        <v>75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4</v>
      </c>
      <c r="D4" s="13"/>
      <c r="E4" t="s">
        <v>310</v>
      </c>
      <c r="F4" s="4">
        <v>175</v>
      </c>
      <c r="G4" t="s">
        <v>311</v>
      </c>
      <c r="H4" s="12" t="str">
        <f>$C$5</f>
        <v>Vast Parcours 1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324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IFERROR(VLOOKUP(Table15[[#This Row],[SNR]],Deelnemers[#Data],2,0),"")</f>
        <v>143588</v>
      </c>
      <c r="B8">
        <f ca="1">IF(VLOOKUP(Table15[[#This Row],[SNR]],Deelnemers[#Data],8,0)&gt;0,"BM",IF(Table15[[#This Row],[Score]]="Disk",0,MATCH(Table15[[#This Row],[Sorteren]],Table15[Sorteren],0)-COUNTIF($B$7:$B12,"BM")))</f>
        <v>0</v>
      </c>
      <c r="D8" t="str">
        <f>IFERROR(VLOOKUP(Table15[[#This Row],[SNR]],Deelnemers[#Data],3,0),"")</f>
        <v>Marja de Voogd</v>
      </c>
      <c r="E8" t="str">
        <f>IFERROR(VLOOKUP(Table15[[#This Row],[SNR]],Deelnemers[#Data],4,0),"")</f>
        <v>Katie</v>
      </c>
      <c r="F8" t="str">
        <f>IFERROR(VLOOKUP(Table15[[#This Row],[SNR]],Deelnemers[#Data],6,0),"")</f>
        <v>nederlandse schapendoes</v>
      </c>
      <c r="G8" s="4">
        <v>27</v>
      </c>
      <c r="H8" s="4">
        <v>43.2</v>
      </c>
      <c r="I8" s="4"/>
      <c r="J8" s="4"/>
      <c r="K8" s="4"/>
      <c r="L8" s="4"/>
      <c r="M8">
        <f>IF(OR(ISNUMBER(SEARCH("Jumping", $C$5)),ISNUMBER(SEARCH("Vast Parcours", $C$5)), ISNUMBER(SEARCH("NKT", $C$5))),IF(OR(Table15[[#This Row],[Disk]]&gt;0,Table15[[#This Row],[W]]&gt;=3,Table15[[#This Row],[Tijd]]&gt;$F$3),"Disk",IF(ISBLANK(Table15[[#This Row],[Tijd]]),"",Table15[[#This Row],[Fouten]]+MAX(0,Table15[[#This Row],[Tijd]]-$F$2))),"-")</f>
        <v>0</v>
      </c>
      <c r="N8">
        <f>IFERROR(PRODUCT($F$4,1/Table15[[#This Row],[Tijd]]),0)</f>
        <v>4.0509259259259256</v>
      </c>
      <c r="O8">
        <f>SUM(Table15[[#This Row],[W]],Table15[[#This Row],[A]],Table15[[#This Row],[F]])*5</f>
        <v>0</v>
      </c>
      <c r="P8" t="str">
        <f>TEXT(Table15[[#This Row],[Score]],"00,00")&amp;TEXT(Table15[[#This Row],[Fouten]],"00")&amp;TEXT(Table15[[#This Row],[Tijd]],"00,000")</f>
        <v>00,000043,200</v>
      </c>
      <c r="Q8" t="str">
        <f>IF(IFERROR(VLOOKUP(Table15[[#This Row],[SNR]],Deelnemers[#Data],7,0),0)&lt;&gt;$C$4,"Loopt niet in deze groep!",IF(COUNTIF(Table15[SNR],Table15[[#This Row],[SNR]])&gt;1,"Dubbel",""))</f>
        <v/>
      </c>
    </row>
    <row r="9" spans="1:17" x14ac:dyDescent="0.2">
      <c r="A9">
        <f>IFERROR(VLOOKUP(Table15[[#This Row],[SNR]],Deelnemers[#Data],2,0),"")</f>
        <v>162035</v>
      </c>
      <c r="B9">
        <f>IF(VLOOKUP(Table15[[#This Row],[SNR]],Deelnemers[#Data],8,0)&gt;0,"BM",IF(Table15[[#This Row],[Score]]="Disk",0,MATCH(Table15[[#This Row],[Sorteren]],Table15[Sorteren],0)-COUNTIF($B$7:$B8,"BM")))</f>
        <v>0</v>
      </c>
      <c r="D9" t="str">
        <f>IFERROR(VLOOKUP(Table15[[#This Row],[SNR]],Deelnemers[#Data],3,0),"")</f>
        <v>Petra Brandjes</v>
      </c>
      <c r="E9" t="str">
        <f>IFERROR(VLOOKUP(Table15[[#This Row],[SNR]],Deelnemers[#Data],4,0),"")</f>
        <v>Tink</v>
      </c>
      <c r="F9" t="str">
        <f>IFERROR(VLOOKUP(Table15[[#This Row],[SNR]],Deelnemers[#Data],6,0),"")</f>
        <v>Oostenrijkse Pinscher</v>
      </c>
      <c r="G9">
        <v>26</v>
      </c>
      <c r="L9" t="s">
        <v>326</v>
      </c>
      <c r="M9" t="str">
        <f>IF(OR(ISNUMBER(SEARCH("Jumping", $C$5)),ISNUMBER(SEARCH("Vast Parcours", $C$5)), ISNUMBER(SEARCH("NKT", $C$5))),IF(OR(Table15[[#This Row],[Disk]]&gt;0,Table15[[#This Row],[W]]&gt;=3,Table15[[#This Row],[Tijd]]&gt;$F$3),"Disk",IF(ISBLANK(Table15[[#This Row],[Tijd]]),"",Table15[[#This Row],[Fouten]]+MAX(0,Table15[[#This Row],[Tijd]]-$F$2))),"-")</f>
        <v>Disk</v>
      </c>
      <c r="N9">
        <f>IFERROR(PRODUCT($F$4,1/Table15[[#This Row],[Tijd]]),0)</f>
        <v>0</v>
      </c>
      <c r="O9">
        <f>SUM(Table15[[#This Row],[W]],Table15[[#This Row],[A]],Table15[[#This Row],[F]])*5</f>
        <v>0</v>
      </c>
      <c r="P9" t="str">
        <f>TEXT(Table15[[#This Row],[Score]],"00,00")&amp;TEXT(Table15[[#This Row],[Fouten]],"00")&amp;TEXT(Table15[[#This Row],[Tijd]],"00,000")</f>
        <v>Disk0000,000</v>
      </c>
      <c r="Q9" t="str">
        <f>IF(IFERROR(VLOOKUP(Table15[[#This Row],[SNR]],Deelnemers[#Data],7,0),0)&lt;&gt;$C$4,"Loopt niet in deze groep!",IF(COUNTIF(Table15[SNR],Table15[[#This Row],[SNR]])&gt;1,"Dubbel",""))</f>
        <v/>
      </c>
    </row>
    <row r="10" spans="1:17" x14ac:dyDescent="0.2">
      <c r="A10">
        <f>IFERROR(VLOOKUP(Table15[[#This Row],[SNR]],Deelnemers[#Data],2,0),"")</f>
        <v>154709</v>
      </c>
      <c r="B10">
        <f>IF(VLOOKUP(Table15[[#This Row],[SNR]],Deelnemers[#Data],8,0)&gt;0,"BM",IF(Table15[[#This Row],[Score]]="Disk",0,MATCH(Table15[[#This Row],[Sorteren]],Table15[Sorteren],0)-COUNTIF($B$7:$B9,"BM")))</f>
        <v>0</v>
      </c>
      <c r="D10" t="str">
        <f>IFERROR(VLOOKUP(Table15[[#This Row],[SNR]],Deelnemers[#Data],3,0),"")</f>
        <v>Gisèle Kdise</v>
      </c>
      <c r="E10" t="str">
        <f>IFERROR(VLOOKUP(Table15[[#This Row],[SNR]],Deelnemers[#Data],4,0),"")</f>
        <v>Lily</v>
      </c>
      <c r="F10" t="str">
        <f>IFERROR(VLOOKUP(Table15[[#This Row],[SNR]],Deelnemers[#Data],6,0),"")</f>
        <v>Kooikerhondje</v>
      </c>
      <c r="G10" s="4">
        <v>28</v>
      </c>
      <c r="H10" s="4"/>
      <c r="I10" s="4"/>
      <c r="J10" s="4"/>
      <c r="K10" s="4"/>
      <c r="L10" s="4" t="s">
        <v>326</v>
      </c>
      <c r="M10" t="str">
        <f>IF(OR(ISNUMBER(SEARCH("Jumping", $C$5)),ISNUMBER(SEARCH("Vast Parcours", $C$5)), ISNUMBER(SEARCH("NKT", $C$5))),IF(OR(Table15[[#This Row],[Disk]]&gt;0,Table15[[#This Row],[W]]&gt;=3,Table15[[#This Row],[Tijd]]&gt;$F$3),"Disk",IF(ISBLANK(Table15[[#This Row],[Tijd]]),"",Table15[[#This Row],[Fouten]]+MAX(0,Table15[[#This Row],[Tijd]]-$F$2))),"-")</f>
        <v>Disk</v>
      </c>
      <c r="N10">
        <f>IFERROR(PRODUCT($F$4,1/Table15[[#This Row],[Tijd]]),0)</f>
        <v>0</v>
      </c>
      <c r="O10">
        <f>SUM(Table15[[#This Row],[W]],Table15[[#This Row],[A]],Table15[[#This Row],[F]])*5</f>
        <v>0</v>
      </c>
      <c r="P10" t="str">
        <f>TEXT(Table15[[#This Row],[Score]],"00,00")&amp;TEXT(Table15[[#This Row],[Fouten]],"00")&amp;TEXT(Table15[[#This Row],[Tijd]],"00,000")</f>
        <v>Disk0000,000</v>
      </c>
      <c r="Q10" t="str">
        <f>IF(IFERROR(VLOOKUP(Table15[[#This Row],[SNR]],Deelnemers[#Data],7,0),0)&lt;&gt;$C$4,"Loopt niet in deze groep!",IF(COUNTIF(Table15[SNR],Table15[[#This Row],[SNR]])&gt;1,"Dubbel",""))</f>
        <v/>
      </c>
    </row>
    <row r="11" spans="1:17" x14ac:dyDescent="0.2">
      <c r="A11">
        <f>IFERROR(VLOOKUP(Table15[[#This Row],[SNR]],Deelnemers[#Data],2,0),"")</f>
        <v>432638</v>
      </c>
      <c r="B11">
        <f>IF(VLOOKUP(Table15[[#This Row],[SNR]],Deelnemers[#Data],8,0)&gt;0,"BM",IF(Table15[[#This Row],[Score]]="Disk",0,MATCH(Table15[[#This Row],[Sorteren]],Table15[Sorteren],0)-COUNTIF($B$7:$B10,"BM")))</f>
        <v>0</v>
      </c>
      <c r="D11" t="str">
        <f>IFERROR(VLOOKUP(Table15[[#This Row],[SNR]],Deelnemers[#Data],3,0),"")</f>
        <v>Christina Smit</v>
      </c>
      <c r="E11" t="str">
        <f>IFERROR(VLOOKUP(Table15[[#This Row],[SNR]],Deelnemers[#Data],4,0),"")</f>
        <v>Chiva</v>
      </c>
      <c r="F11" t="str">
        <f>IFERROR(VLOOKUP(Table15[[#This Row],[SNR]],Deelnemers[#Data],6,0),"")</f>
        <v>jack russell terriër</v>
      </c>
      <c r="G11" s="4">
        <v>29</v>
      </c>
      <c r="H11" s="4"/>
      <c r="I11" s="4"/>
      <c r="J11" s="4"/>
      <c r="K11" s="4"/>
      <c r="L11" s="4" t="s">
        <v>326</v>
      </c>
      <c r="M11" t="str">
        <f>IF(OR(ISNUMBER(SEARCH("Jumping", $C$5)),ISNUMBER(SEARCH("Vast Parcours", $C$5)), ISNUMBER(SEARCH("NKT", $C$5))),IF(OR(Table15[[#This Row],[Disk]]&gt;0,Table15[[#This Row],[W]]&gt;=3,Table15[[#This Row],[Tijd]]&gt;$F$3),"Disk",IF(ISBLANK(Table15[[#This Row],[Tijd]]),"",Table15[[#This Row],[Fouten]]+MAX(0,Table15[[#This Row],[Tijd]]-$F$2))),"-")</f>
        <v>Disk</v>
      </c>
      <c r="N11">
        <f>IFERROR(PRODUCT($F$4,1/Table15[[#This Row],[Tijd]]),0)</f>
        <v>0</v>
      </c>
      <c r="O11">
        <f>SUM(Table15[[#This Row],[W]],Table15[[#This Row],[A]],Table15[[#This Row],[F]])*5</f>
        <v>0</v>
      </c>
      <c r="P11" t="str">
        <f>TEXT(Table15[[#This Row],[Score]],"00,00")&amp;TEXT(Table15[[#This Row],[Fouten]],"00")&amp;TEXT(Table15[[#This Row],[Tijd]],"00,000")</f>
        <v>Disk0000,000</v>
      </c>
      <c r="Q11" t="str">
        <f>IF(IFERROR(VLOOKUP(Table15[[#This Row],[SNR]],Deelnemers[#Data],7,0),0)&lt;&gt;$C$4,"Loopt niet in deze groep!",IF(COUNTIF(Table15[SNR],Table15[[#This Row],[SNR]])&gt;1,"Dubbel",""))</f>
        <v/>
      </c>
    </row>
    <row r="12" spans="1:17" x14ac:dyDescent="0.2">
      <c r="A12">
        <f>IFERROR(VLOOKUP(Table15[[#This Row],[SNR]],Deelnemers[#Data],2,0),"")</f>
        <v>173606</v>
      </c>
      <c r="B12">
        <f>IF(VLOOKUP(Table15[[#This Row],[SNR]],Deelnemers[#Data],8,0)&gt;0,"BM",IF(Table15[[#This Row],[Score]]="Disk",0,MATCH(Table15[[#This Row],[Sorteren]],Table15[Sorteren],0)-COUNTIF($B$7:$B11,"BM")))</f>
        <v>0</v>
      </c>
      <c r="D12" t="str">
        <f>IFERROR(VLOOKUP(Table15[[#This Row],[SNR]],Deelnemers[#Data],3,0),"")</f>
        <v>Susan Mouwen-Ophorst</v>
      </c>
      <c r="E12" t="str">
        <f>IFERROR(VLOOKUP(Table15[[#This Row],[SNR]],Deelnemers[#Data],4,0),"")</f>
        <v>Bessie</v>
      </c>
      <c r="F12" t="str">
        <f>IFERROR(VLOOKUP(Table15[[#This Row],[SNR]],Deelnemers[#Data],6,0),"")</f>
        <v>Border Collie</v>
      </c>
      <c r="G12" s="4">
        <v>30</v>
      </c>
      <c r="H12" s="4"/>
      <c r="I12" s="4"/>
      <c r="J12" s="4"/>
      <c r="K12" s="4"/>
      <c r="L12" s="4" t="s">
        <v>326</v>
      </c>
      <c r="M12" t="str">
        <f>IF(OR(ISNUMBER(SEARCH("Jumping", $C$5)),ISNUMBER(SEARCH("Vast Parcours", $C$5)), ISNUMBER(SEARCH("NKT", $C$5))),IF(OR(Table15[[#This Row],[Disk]]&gt;0,Table15[[#This Row],[W]]&gt;=3,Table15[[#This Row],[Tijd]]&gt;$F$3),"Disk",IF(ISBLANK(Table15[[#This Row],[Tijd]]),"",Table15[[#This Row],[Fouten]]+MAX(0,Table15[[#This Row],[Tijd]]-$F$2))),"-")</f>
        <v>Disk</v>
      </c>
      <c r="N12">
        <f>IFERROR(PRODUCT($F$4,1/Table15[[#This Row],[Tijd]]),0)</f>
        <v>0</v>
      </c>
      <c r="O12">
        <f>SUM(Table15[[#This Row],[W]],Table15[[#This Row],[A]],Table15[[#This Row],[F]])*5</f>
        <v>0</v>
      </c>
      <c r="P12" t="str">
        <f>TEXT(Table15[[#This Row],[Score]],"00,00")&amp;TEXT(Table15[[#This Row],[Fouten]],"00")&amp;TEXT(Table15[[#This Row],[Tijd]],"00,000")</f>
        <v>Disk0000,000</v>
      </c>
      <c r="Q12" t="str">
        <f>IF(IFERROR(VLOOKUP(Table15[[#This Row],[SNR]],Deelnemers[#Data],7,0),0)&lt;&gt;$C$4,"Loopt niet in deze groep!",IF(COUNTIF(Table15[SNR],Table15[[#This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09" priority="2">
      <formula>LEN(TRIM(F1))=0</formula>
    </cfRule>
  </conditionalFormatting>
  <conditionalFormatting sqref="F2:F4">
    <cfRule type="containsBlanks" dxfId="108" priority="1">
      <formula>LEN(TRIM(F2))=0</formula>
    </cfRule>
  </conditionalFormatting>
  <dataValidations count="2">
    <dataValidation type="list" allowBlank="1" showInputMessage="1" showErrorMessage="1" sqref="C4" xr:uid="{00000000-0002-0000-0F00-000000000000}">
      <formula1>GroepLijst</formula1>
    </dataValidation>
    <dataValidation type="list" allowBlank="1" showInputMessage="1" showErrorMessage="1" sqref="F1" xr:uid="{B4A1CFA1-A86A-584A-8AF7-D30B6943C9A9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2"/>
  <sheetViews>
    <sheetView workbookViewId="0">
      <selection activeCell="F2" sqref="F2:F4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8">
        <v>48</v>
      </c>
      <c r="G2" t="s">
        <v>308</v>
      </c>
      <c r="H2" s="12" t="str">
        <f>$C$4</f>
        <v>2ᵉ graad Medium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8">
        <v>75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4</v>
      </c>
      <c r="D4" s="13"/>
      <c r="E4" t="s">
        <v>310</v>
      </c>
      <c r="F4" s="8">
        <v>173</v>
      </c>
      <c r="G4" t="s">
        <v>311</v>
      </c>
      <c r="H4" s="12" t="str">
        <f>$C$5</f>
        <v>Vast Parcours 2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IFERROR(VLOOKUP(Table16[[#This Row],[SNR]],Deelnemers[#Data],2,0),"")</f>
        <v>162035</v>
      </c>
      <c r="B8">
        <f>IF(VLOOKUP(Table16[[#This Row],[SNR]],Deelnemers[#Data],8,0)&gt;0,"BM",IF(Table16[[#This Row],[Score]]="Disk",0,MATCH(Table16[[#This Row],[Sorteren]],Table16[Sorteren],0)-COUNTIF($B$7:$B7,"BM")))</f>
        <v>1</v>
      </c>
      <c r="D8" t="str">
        <f>IFERROR(VLOOKUP(Table16[[#This Row],[SNR]],Deelnemers[#Data],3,0),"")</f>
        <v>Petra Brandjes</v>
      </c>
      <c r="E8" t="str">
        <f>IFERROR(VLOOKUP(Table16[[#This Row],[SNR]],Deelnemers[#Data],4,0),"")</f>
        <v>Tink</v>
      </c>
      <c r="F8" t="str">
        <f>IFERROR(VLOOKUP(Table16[[#This Row],[SNR]],Deelnemers[#Data],6,0),"")</f>
        <v>Oostenrijkse Pinscher</v>
      </c>
      <c r="G8">
        <v>26</v>
      </c>
      <c r="H8">
        <v>39.6</v>
      </c>
      <c r="M8">
        <f>IF(OR(ISNUMBER(SEARCH("Jumping", $C$5)),ISNUMBER(SEARCH("Vast Parcours", $C$5)), ISNUMBER(SEARCH("NKT", $C$5))),IF(OR(Table16[[#This Row],[Disk]]&gt;0,Table16[[#This Row],[W]]&gt;=3,Table16[[#This Row],[Tijd]]&gt;$F$3),"Disk",IF(ISBLANK(Table16[[#This Row],[Tijd]]),"",Table16[[#This Row],[Fouten]]+MAX(0,Table16[[#This Row],[Tijd]]-$F$2))),"-")</f>
        <v>0</v>
      </c>
      <c r="N8">
        <f>IFERROR(PRODUCT($F$4,1/Table16[[#This Row],[Tijd]]),0)</f>
        <v>4.3686868686868685</v>
      </c>
      <c r="O8">
        <f>SUM(Table16[[#This Row],[W]],Table16[[#This Row],[A]],Table16[[#This Row],[F]])*5</f>
        <v>0</v>
      </c>
      <c r="P8" t="str">
        <f>TEXT(Table16[[#This Row],[Score]],"00,00")&amp;TEXT(Table16[[#This Row],[Fouten]],"00")&amp;TEXT(Table16[[#This Row],[Tijd]],"00,000")</f>
        <v>00,000039,600</v>
      </c>
      <c r="Q8" t="str">
        <f>IF(IFERROR(VLOOKUP(Table16[[#This Row],[SNR]],Deelnemers[#Data],7,0),0)&lt;&gt;$C$4,"Loopt niet in deze groep!",IF(COUNTIF(Table16[SNR],Table16[[#This Row],[SNR]])&gt;1,"Dubbel",""))</f>
        <v/>
      </c>
    </row>
    <row r="9" spans="1:17" x14ac:dyDescent="0.2">
      <c r="A9">
        <f>IFERROR(VLOOKUP(Table16[[#This Row],[SNR]],Deelnemers[#Data],2,0),"")</f>
        <v>143588</v>
      </c>
      <c r="B9">
        <f>IF(VLOOKUP(Table16[[#This Row],[SNR]],Deelnemers[#Data],8,0)&gt;0,"BM",IF(Table16[[#This Row],[Score]]="Disk",0,MATCH(Table16[[#This Row],[Sorteren]],Table16[Sorteren],0)-COUNTIF($B$7:$B8,"BM")))</f>
        <v>2</v>
      </c>
      <c r="D9" t="str">
        <f>IFERROR(VLOOKUP(Table16[[#This Row],[SNR]],Deelnemers[#Data],3,0),"")</f>
        <v>Marja de Voogd</v>
      </c>
      <c r="E9" t="str">
        <f>IFERROR(VLOOKUP(Table16[[#This Row],[SNR]],Deelnemers[#Data],4,0),"")</f>
        <v>Katie</v>
      </c>
      <c r="F9" t="str">
        <f>IFERROR(VLOOKUP(Table16[[#This Row],[SNR]],Deelnemers[#Data],6,0),"")</f>
        <v>nederlandse schapendoes</v>
      </c>
      <c r="G9" s="8">
        <v>27</v>
      </c>
      <c r="H9" s="8">
        <v>46.68</v>
      </c>
      <c r="I9" s="8"/>
      <c r="J9" s="8"/>
      <c r="K9" s="8"/>
      <c r="L9" s="8"/>
      <c r="M9">
        <f>IF(OR(ISNUMBER(SEARCH("Jumping", $C$5)),ISNUMBER(SEARCH("Vast Parcours", $C$5)), ISNUMBER(SEARCH("NKT", $C$5))),IF(OR(Table16[[#This Row],[Disk]]&gt;0,Table16[[#This Row],[W]]&gt;=3,Table16[[#This Row],[Tijd]]&gt;$F$3),"Disk",IF(ISBLANK(Table16[[#This Row],[Tijd]]),"",Table16[[#This Row],[Fouten]]+MAX(0,Table16[[#This Row],[Tijd]]-$F$2))),"-")</f>
        <v>0</v>
      </c>
      <c r="N9">
        <f>IFERROR(PRODUCT($F$4,1/Table16[[#This Row],[Tijd]]),0)</f>
        <v>3.7060839760068549</v>
      </c>
      <c r="O9">
        <f>SUM(Table16[[#This Row],[W]],Table16[[#This Row],[A]],Table16[[#This Row],[F]])*5</f>
        <v>0</v>
      </c>
      <c r="P9" t="str">
        <f>TEXT(Table16[[#This Row],[Score]],"00,00")&amp;TEXT(Table16[[#This Row],[Fouten]],"00")&amp;TEXT(Table16[[#This Row],[Tijd]],"00,000")</f>
        <v>00,000046,680</v>
      </c>
      <c r="Q9" t="str">
        <f>IF(IFERROR(VLOOKUP(Table16[[#This Row],[SNR]],Deelnemers[#Data],7,0),0)&lt;&gt;$C$4,"Loopt niet in deze groep!",IF(COUNTIF(Table16[SNR],Table16[[#This Row],[SNR]])&gt;1,"Dubbel",""))</f>
        <v/>
      </c>
    </row>
    <row r="10" spans="1:17" x14ac:dyDescent="0.2">
      <c r="A10">
        <f>IFERROR(VLOOKUP(Table16[[#This Row],[SNR]],Deelnemers[#Data],2,0),"")</f>
        <v>173606</v>
      </c>
      <c r="B10">
        <f>IF(VLOOKUP(Table16[[#This Row],[SNR]],Deelnemers[#Data],8,0)&gt;0,"BM",IF(Table16[[#This Row],[Score]]="Disk",0,MATCH(Table16[[#This Row],[Sorteren]],Table16[Sorteren],0)-COUNTIF($B$7:$B9,"BM")))</f>
        <v>3</v>
      </c>
      <c r="D10" t="str">
        <f>IFERROR(VLOOKUP(Table16[[#This Row],[SNR]],Deelnemers[#Data],3,0),"")</f>
        <v>Susan Mouwen-Ophorst</v>
      </c>
      <c r="E10" t="str">
        <f>IFERROR(VLOOKUP(Table16[[#This Row],[SNR]],Deelnemers[#Data],4,0),"")</f>
        <v>Bessie</v>
      </c>
      <c r="F10" t="str">
        <f>IFERROR(VLOOKUP(Table16[[#This Row],[SNR]],Deelnemers[#Data],6,0),"")</f>
        <v>Border Collie</v>
      </c>
      <c r="G10" s="8">
        <v>30</v>
      </c>
      <c r="H10" s="8">
        <v>41.44</v>
      </c>
      <c r="I10" s="8"/>
      <c r="J10" s="8"/>
      <c r="K10" s="8">
        <v>2</v>
      </c>
      <c r="L10" s="8"/>
      <c r="M10">
        <f>IF(OR(ISNUMBER(SEARCH("Jumping", $C$5)),ISNUMBER(SEARCH("Vast Parcours", $C$5)), ISNUMBER(SEARCH("NKT", $C$5))),IF(OR(Table16[[#This Row],[Disk]]&gt;0,Table16[[#This Row],[W]]&gt;=3,Table16[[#This Row],[Tijd]]&gt;$F$3),"Disk",IF(ISBLANK(Table16[[#This Row],[Tijd]]),"",Table16[[#This Row],[Fouten]]+MAX(0,Table16[[#This Row],[Tijd]]-$F$2))),"-")</f>
        <v>10</v>
      </c>
      <c r="N10">
        <f>IFERROR(PRODUCT($F$4,1/Table16[[#This Row],[Tijd]]),0)</f>
        <v>4.1747104247104252</v>
      </c>
      <c r="O10">
        <f>SUM(Table16[[#This Row],[W]],Table16[[#This Row],[A]],Table16[[#This Row],[F]])*5</f>
        <v>10</v>
      </c>
      <c r="P10" t="str">
        <f>TEXT(Table16[[#This Row],[Score]],"00,00")&amp;TEXT(Table16[[#This Row],[Fouten]],"00")&amp;TEXT(Table16[[#This Row],[Tijd]],"00,000")</f>
        <v>10,001041,440</v>
      </c>
      <c r="Q10" t="str">
        <f>IF(IFERROR(VLOOKUP(Table16[[#This Row],[SNR]],Deelnemers[#Data],7,0),0)&lt;&gt;$C$4,"Loopt niet in deze groep!",IF(COUNTIF(Table16[SNR],Table16[[#This Row],[SNR]])&gt;1,"Dubbel",""))</f>
        <v/>
      </c>
    </row>
    <row r="11" spans="1:17" x14ac:dyDescent="0.2">
      <c r="A11">
        <f>IFERROR(VLOOKUP(Table16[[#This Row],[SNR]],Deelnemers[#Data],2,0),"")</f>
        <v>432638</v>
      </c>
      <c r="B11">
        <f>IF(VLOOKUP(Table16[[#This Row],[SNR]],Deelnemers[#Data],8,0)&gt;0,"BM",IF(Table16[[#This Row],[Score]]="Disk",0,MATCH(Table16[[#This Row],[Sorteren]],Table16[Sorteren],0)-COUNTIF($B$7:$B10,"BM")))</f>
        <v>4</v>
      </c>
      <c r="D11" t="str">
        <f>IFERROR(VLOOKUP(Table16[[#This Row],[SNR]],Deelnemers[#Data],3,0),"")</f>
        <v>Christina Smit</v>
      </c>
      <c r="E11" t="str">
        <f>IFERROR(VLOOKUP(Table16[[#This Row],[SNR]],Deelnemers[#Data],4,0),"")</f>
        <v>Chiva</v>
      </c>
      <c r="F11" t="str">
        <f>IFERROR(VLOOKUP(Table16[[#This Row],[SNR]],Deelnemers[#Data],6,0),"")</f>
        <v>jack russell terriër</v>
      </c>
      <c r="G11" s="8">
        <v>29</v>
      </c>
      <c r="H11" s="8">
        <v>61.52</v>
      </c>
      <c r="I11" s="8">
        <v>1</v>
      </c>
      <c r="J11" s="8"/>
      <c r="K11" s="8">
        <v>2</v>
      </c>
      <c r="L11" s="8"/>
      <c r="M11">
        <f>IF(OR(ISNUMBER(SEARCH("Jumping", $C$5)),ISNUMBER(SEARCH("Vast Parcours", $C$5)), ISNUMBER(SEARCH("NKT", $C$5))),IF(OR(Table16[[#This Row],[Disk]]&gt;0,Table16[[#This Row],[W]]&gt;=3,Table16[[#This Row],[Tijd]]&gt;$F$3),"Disk",IF(ISBLANK(Table16[[#This Row],[Tijd]]),"",Table16[[#This Row],[Fouten]]+MAX(0,Table16[[#This Row],[Tijd]]-$F$2))),"-")</f>
        <v>28.520000000000003</v>
      </c>
      <c r="N11">
        <f>IFERROR(PRODUCT($F$4,1/Table16[[#This Row],[Tijd]]),0)</f>
        <v>2.8120936280884261</v>
      </c>
      <c r="O11">
        <f>SUM(Table16[[#This Row],[W]],Table16[[#This Row],[A]],Table16[[#This Row],[F]])*5</f>
        <v>15</v>
      </c>
      <c r="P11" t="str">
        <f>TEXT(Table16[[#This Row],[Score]],"00,00")&amp;TEXT(Table16[[#This Row],[Fouten]],"00")&amp;TEXT(Table16[[#This Row],[Tijd]],"00,000")</f>
        <v>28,521561,520</v>
      </c>
      <c r="Q11" t="str">
        <f>IF(IFERROR(VLOOKUP(Table16[[#This Row],[SNR]],Deelnemers[#Data],7,0),0)&lt;&gt;$C$4,"Loopt niet in deze groep!",IF(COUNTIF(Table16[SNR],Table16[[#This Row],[SNR]])&gt;1,"Dubbel",""))</f>
        <v/>
      </c>
    </row>
    <row r="12" spans="1:17" x14ac:dyDescent="0.2">
      <c r="A12">
        <f>IFERROR(VLOOKUP(Table16[[#This Row],[SNR]],Deelnemers[#Data],2,0),"")</f>
        <v>154709</v>
      </c>
      <c r="B12">
        <f>IF(VLOOKUP(Table16[[#This Row],[SNR]],Deelnemers[#Data],8,0)&gt;0,"BM",IF(Table16[[#This Row],[Score]]="Disk",0,MATCH(Table16[[#This Row],[Sorteren]],Table16[Sorteren],0)-COUNTIF($B$7:$B11,"BM")))</f>
        <v>0</v>
      </c>
      <c r="D12" t="str">
        <f>IFERROR(VLOOKUP(Table16[[#This Row],[SNR]],Deelnemers[#Data],3,0),"")</f>
        <v>Gisèle Kdise</v>
      </c>
      <c r="E12" t="str">
        <f>IFERROR(VLOOKUP(Table16[[#This Row],[SNR]],Deelnemers[#Data],4,0),"")</f>
        <v>Lily</v>
      </c>
      <c r="F12" t="str">
        <f>IFERROR(VLOOKUP(Table16[[#This Row],[SNR]],Deelnemers[#Data],6,0),"")</f>
        <v>Kooikerhondje</v>
      </c>
      <c r="G12" s="8">
        <v>28</v>
      </c>
      <c r="H12" s="8"/>
      <c r="I12" s="8"/>
      <c r="J12" s="8"/>
      <c r="K12" s="8"/>
      <c r="L12" s="8" t="s">
        <v>326</v>
      </c>
      <c r="M12" t="str">
        <f>IF(OR(ISNUMBER(SEARCH("Jumping", $C$5)),ISNUMBER(SEARCH("Vast Parcours", $C$5)), ISNUMBER(SEARCH("NKT", $C$5))),IF(OR(Table16[[#This Row],[Disk]]&gt;0,Table16[[#This Row],[W]]&gt;=3,Table16[[#This Row],[Tijd]]&gt;$F$3),"Disk",IF(ISBLANK(Table16[[#This Row],[Tijd]]),"",Table16[[#This Row],[Fouten]]+MAX(0,Table16[[#This Row],[Tijd]]-$F$2))),"-")</f>
        <v>Disk</v>
      </c>
      <c r="N12">
        <f>IFERROR(PRODUCT($F$4,1/Table16[[#This Row],[Tijd]]),0)</f>
        <v>0</v>
      </c>
      <c r="O12">
        <f>SUM(Table16[[#This Row],[W]],Table16[[#This Row],[A]],Table16[[#This Row],[F]])*5</f>
        <v>0</v>
      </c>
      <c r="P12" t="str">
        <f>TEXT(Table16[[#This Row],[Score]],"00,00")&amp;TEXT(Table16[[#This Row],[Fouten]],"00")&amp;TEXT(Table16[[#This Row],[Tijd]],"00,000")</f>
        <v>Disk0000,000</v>
      </c>
      <c r="Q12" t="str">
        <f>IF(IFERROR(VLOOKUP(Table16[[#This Row],[SNR]],Deelnemers[#Data],7,0),0)&lt;&gt;$C$4,"Loopt niet in deze groep!",IF(COUNTIF(Table16[SNR],Table16[[#This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01" priority="2">
      <formula>LEN(TRIM(F1))=0</formula>
    </cfRule>
  </conditionalFormatting>
  <conditionalFormatting sqref="F2:F4">
    <cfRule type="containsBlanks" dxfId="100" priority="1">
      <formula>LEN(TRIM(F2))=0</formula>
    </cfRule>
  </conditionalFormatting>
  <dataValidations count="2">
    <dataValidation type="list" allowBlank="1" showInputMessage="1" showErrorMessage="1" sqref="C4" xr:uid="{00000000-0002-0000-1000-000000000000}">
      <formula1>GroepLijst</formula1>
    </dataValidation>
    <dataValidation type="list" allowBlank="1" showInputMessage="1" showErrorMessage="1" sqref="F1" xr:uid="{2BCBF88A-83F5-A44D-B573-A74EA0C9339E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0"/>
  <sheetViews>
    <sheetView workbookViewId="0">
      <selection activeCell="F2" sqref="F2:F4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3">
        <v>38</v>
      </c>
      <c r="G2" t="s">
        <v>308</v>
      </c>
      <c r="H2" s="12" t="str">
        <f>$C$4</f>
        <v>2ᵉ graad Small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3">
        <v>65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5</v>
      </c>
      <c r="D4" s="13"/>
      <c r="E4" t="s">
        <v>310</v>
      </c>
      <c r="F4" s="3">
        <v>141</v>
      </c>
      <c r="G4" t="s">
        <v>311</v>
      </c>
      <c r="H4" s="12" t="str">
        <f>$C$5</f>
        <v>Jumping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305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IFERROR(VLOOKUP(Table17[[#This Row],[SNR]],Deelnemers[#Data],2,0),"")</f>
        <v>150762</v>
      </c>
      <c r="B8">
        <f>IF(VLOOKUP(Table17[[#This Row],[SNR]],Deelnemers[#Data],8,0)&gt;0,"BM",IF(Table17[[#This Row],[Score]]="Disk",0,MATCH(Table17[[#This Row],[Sorteren]],Table17[Sorteren],0)-COUNTIF($B$7:$B7,"BM")))</f>
        <v>1</v>
      </c>
      <c r="D8" t="str">
        <f>IFERROR(VLOOKUP(Table17[[#This Row],[SNR]],Deelnemers[#Data],3,0),"")</f>
        <v>Mariën Balt</v>
      </c>
      <c r="E8" t="str">
        <f>IFERROR(VLOOKUP(Table17[[#This Row],[SNR]],Deelnemers[#Data],4,0),"")</f>
        <v>Scooby Doo</v>
      </c>
      <c r="F8" t="str">
        <f>IFERROR(VLOOKUP(Table17[[#This Row],[SNR]],Deelnemers[#Data],6,0),"")</f>
        <v>mix</v>
      </c>
      <c r="G8" s="9">
        <v>23</v>
      </c>
      <c r="H8" s="9">
        <v>32.44</v>
      </c>
      <c r="I8" s="9"/>
      <c r="J8" s="9"/>
      <c r="K8" s="9"/>
      <c r="L8" s="9"/>
      <c r="M8">
        <f>IF(OR(ISNUMBER(SEARCH("Jumping", $C$5)),ISNUMBER(SEARCH("Vast Parcours", $C$5)), ISNUMBER(SEARCH("NKT", $C$5))),IF(OR(Table17[[#This Row],[Disk]]&gt;0,Table17[[#This Row],[W]]&gt;=3,Table17[[#This Row],[Tijd]]&gt;$F$3),"Disk",IF(ISBLANK(Table17[[#This Row],[Tijd]]),"",Table17[[#This Row],[Fouten]]+MAX(0,Table17[[#This Row],[Tijd]]-$F$2))),"-")</f>
        <v>0</v>
      </c>
      <c r="N8">
        <f>IFERROR(PRODUCT($F$4,1/Table17[[#This Row],[Tijd]]),0)</f>
        <v>4.3464858199753396</v>
      </c>
      <c r="O8">
        <f>SUM(Table17[[#This Row],[W]],Table17[[#This Row],[A]],Table17[[#This Row],[F]])*5</f>
        <v>0</v>
      </c>
      <c r="P8" t="str">
        <f>TEXT(Table17[[#This Row],[Score]],"00,00")&amp;TEXT(Table17[[#This Row],[Fouten]],"00")&amp;TEXT(Table17[[#This Row],[Tijd]],"00,000")</f>
        <v>00,000032,440</v>
      </c>
      <c r="Q8" t="str">
        <f>IF(IFERROR(VLOOKUP(Table17[[#This Row],[SNR]],Deelnemers[#Data],7,0),0)&lt;&gt;$C$4,"Loopt niet in deze groep!",IF(COUNTIF(Table17[SNR],Table17[[#This Row],[SNR]])&gt;1,"Dubbel",""))</f>
        <v/>
      </c>
    </row>
    <row r="9" spans="1:17" x14ac:dyDescent="0.2">
      <c r="A9">
        <f>IFERROR(VLOOKUP(Table17[[#This Row],[SNR]],Deelnemers[#Data],2,0),"")</f>
        <v>142050</v>
      </c>
      <c r="B9">
        <f>IF(VLOOKUP(Table17[[#This Row],[SNR]],Deelnemers[#Data],8,0)&gt;0,"BM",IF(Table17[[#This Row],[Score]]="Disk",0,MATCH(Table17[[#This Row],[Sorteren]],Table17[Sorteren],0)-COUNTIF($B$7:$B8,"BM")))</f>
        <v>2</v>
      </c>
      <c r="D9" t="str">
        <f>IFERROR(VLOOKUP(Table17[[#This Row],[SNR]],Deelnemers[#Data],3,0),"")</f>
        <v>Marouschka Poppema</v>
      </c>
      <c r="E9" t="str">
        <f>IFERROR(VLOOKUP(Table17[[#This Row],[SNR]],Deelnemers[#Data],4,0),"")</f>
        <v>Hannah</v>
      </c>
      <c r="F9" t="str">
        <f>IFERROR(VLOOKUP(Table17[[#This Row],[SNR]],Deelnemers[#Data],6,0),"")</f>
        <v>Shetland Sheepdog</v>
      </c>
      <c r="G9" s="9">
        <v>22</v>
      </c>
      <c r="H9" s="9">
        <v>36.229999999999997</v>
      </c>
      <c r="I9" s="9"/>
      <c r="J9" s="9"/>
      <c r="K9" s="9"/>
      <c r="L9" s="9"/>
      <c r="M9">
        <f>IF(OR(ISNUMBER(SEARCH("Jumping", $C$5)),ISNUMBER(SEARCH("Vast Parcours", $C$5)), ISNUMBER(SEARCH("NKT", $C$5))),IF(OR(Table17[[#This Row],[Disk]]&gt;0,Table17[[#This Row],[W]]&gt;=3,Table17[[#This Row],[Tijd]]&gt;$F$3),"Disk",IF(ISBLANK(Table17[[#This Row],[Tijd]]),"",Table17[[#This Row],[Fouten]]+MAX(0,Table17[[#This Row],[Tijd]]-$F$2))),"-")</f>
        <v>0</v>
      </c>
      <c r="N9">
        <f>IFERROR(PRODUCT($F$4,1/Table17[[#This Row],[Tijd]]),0)</f>
        <v>3.8918023737234342</v>
      </c>
      <c r="O9">
        <f>SUM(Table17[[#This Row],[W]],Table17[[#This Row],[A]],Table17[[#This Row],[F]])*5</f>
        <v>0</v>
      </c>
      <c r="P9" t="str">
        <f>TEXT(Table17[[#This Row],[Score]],"00,00")&amp;TEXT(Table17[[#This Row],[Fouten]],"00")&amp;TEXT(Table17[[#This Row],[Tijd]],"00,000")</f>
        <v>00,000036,230</v>
      </c>
      <c r="Q9" t="str">
        <f>IF(IFERROR(VLOOKUP(Table17[[#This Row],[SNR]],Deelnemers[#Data],7,0),0)&lt;&gt;$C$4,"Loopt niet in deze groep!",IF(COUNTIF(Table17[SNR],Table17[[#This Row],[SNR]])&gt;1,"Dubbel",""))</f>
        <v/>
      </c>
    </row>
    <row r="10" spans="1:17" x14ac:dyDescent="0.2">
      <c r="A10">
        <f>IFERROR(VLOOKUP(Table17[[#This Row],[SNR]],Deelnemers[#Data],2,0),"")</f>
        <v>165034</v>
      </c>
      <c r="B10">
        <f>IF(VLOOKUP(Table17[[#This Row],[SNR]],Deelnemers[#Data],8,0)&gt;0,"BM",IF(Table17[[#This Row],[Score]]="Disk",0,MATCH(Table17[[#This Row],[Sorteren]],Table17[Sorteren],0)-COUNTIF($B$7:$B9,"BM")))</f>
        <v>3</v>
      </c>
      <c r="D10" t="str">
        <f>IFERROR(VLOOKUP(Table17[[#This Row],[SNR]],Deelnemers[#Data],3,0),"")</f>
        <v>Marion Homburg</v>
      </c>
      <c r="E10" t="str">
        <f>IFERROR(VLOOKUP(Table17[[#This Row],[SNR]],Deelnemers[#Data],4,0),"")</f>
        <v>Maxl</v>
      </c>
      <c r="F10" t="str">
        <f>IFERROR(VLOOKUP(Table17[[#This Row],[SNR]],Deelnemers[#Data],6,0),"")</f>
        <v>Yorkshire Terriër</v>
      </c>
      <c r="G10">
        <v>21</v>
      </c>
      <c r="H10">
        <v>38.22</v>
      </c>
      <c r="M10">
        <f>IF(OR(ISNUMBER(SEARCH("Jumping", $C$5)),ISNUMBER(SEARCH("Vast Parcours", $C$5)), ISNUMBER(SEARCH("NKT", $C$5))),IF(OR(Table17[[#This Row],[Disk]]&gt;0,Table17[[#This Row],[W]]&gt;=3,Table17[[#This Row],[Tijd]]&gt;$F$3),"Disk",IF(ISBLANK(Table17[[#This Row],[Tijd]]),"",Table17[[#This Row],[Fouten]]+MAX(0,Table17[[#This Row],[Tijd]]-$F$2))),"-")</f>
        <v>0.21999999999999886</v>
      </c>
      <c r="N10">
        <f>IFERROR(PRODUCT($F$4,1/Table17[[#This Row],[Tijd]]),0)</f>
        <v>3.6891679748822606</v>
      </c>
      <c r="O10">
        <f>SUM(Table17[[#This Row],[W]],Table17[[#This Row],[A]],Table17[[#This Row],[F]])*5</f>
        <v>0</v>
      </c>
      <c r="P10" t="str">
        <f>TEXT(Table17[[#This Row],[Score]],"00,00")&amp;TEXT(Table17[[#This Row],[Fouten]],"00")&amp;TEXT(Table17[[#This Row],[Tijd]],"00,000")</f>
        <v>00,220038,220</v>
      </c>
      <c r="Q10" t="str">
        <f>IF(IFERROR(VLOOKUP(Table17[[#This Row],[SNR]],Deelnemers[#Data],7,0),0)&lt;&gt;$C$4,"Loopt niet in deze groep!",IF(COUNTIF(Table17[SNR],Table17[[#This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2:F4">
    <cfRule type="containsBlanks" dxfId="93" priority="2">
      <formula>LEN(TRIM(F2))=0</formula>
    </cfRule>
  </conditionalFormatting>
  <conditionalFormatting sqref="F1">
    <cfRule type="containsBlanks" dxfId="92" priority="1">
      <formula>LEN(TRIM(F1))=0</formula>
    </cfRule>
  </conditionalFormatting>
  <dataValidations count="2">
    <dataValidation type="list" allowBlank="1" showInputMessage="1" showErrorMessage="1" sqref="C4" xr:uid="{00000000-0002-0000-1100-000000000000}">
      <formula1>GroepLijst</formula1>
    </dataValidation>
    <dataValidation type="list" allowBlank="1" showInputMessage="1" showErrorMessage="1" sqref="F1" xr:uid="{A1101E94-8DF5-9240-85E0-68846EB48D09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54B5-3435-3142-BCE9-8291F53CC528}">
  <sheetPr>
    <pageSetUpPr fitToPage="1"/>
  </sheetPr>
  <dimension ref="A1:Q11"/>
  <sheetViews>
    <sheetView workbookViewId="0">
      <selection activeCell="C6" sqref="C6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9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9">
        <v>48</v>
      </c>
      <c r="G2" t="s">
        <v>308</v>
      </c>
      <c r="H2" s="12" t="str">
        <f>$C$4</f>
        <v>2ᵉ graad Small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9">
        <v>75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5</v>
      </c>
      <c r="D4" s="13"/>
      <c r="E4" t="s">
        <v>310</v>
      </c>
      <c r="F4" s="9">
        <v>173</v>
      </c>
      <c r="G4" t="s">
        <v>311</v>
      </c>
      <c r="H4" s="12" t="str">
        <f>$C$5</f>
        <v>Vast Parcours 1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324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IFERROR(VLOOKUP(Table1930[[#This Row],[SNR]],Deelnemers[#Data],2,0),"")</f>
        <v>150762</v>
      </c>
      <c r="B8">
        <f>IF(VLOOKUP(Table1930[[#This Row],[SNR]],Deelnemers[#Data],8,0)&gt;0,"BM",IF(Table1930[[#This Row],[Score]]="Disk",0,MATCH(Table1930[[#This Row],[Sorteren]],Table1930[Sorteren],0)-COUNTIF($B$7:$B7,"BM")))</f>
        <v>1</v>
      </c>
      <c r="D8" t="str">
        <f>IFERROR(VLOOKUP(Table1930[[#This Row],[SNR]],Deelnemers[#Data],3,0),"")</f>
        <v>Mariën Balt</v>
      </c>
      <c r="E8" t="str">
        <f>IFERROR(VLOOKUP(Table1930[[#This Row],[SNR]],Deelnemers[#Data],4,0),"")</f>
        <v>Scooby Doo</v>
      </c>
      <c r="F8" t="str">
        <f>IFERROR(VLOOKUP(Table1930[[#This Row],[SNR]],Deelnemers[#Data],6,0),"")</f>
        <v>mix</v>
      </c>
      <c r="G8" s="9">
        <v>23</v>
      </c>
      <c r="H8" s="9">
        <v>42</v>
      </c>
      <c r="I8" s="9"/>
      <c r="J8" s="9"/>
      <c r="K8" s="9"/>
      <c r="L8" s="9"/>
      <c r="M8">
        <f>IF(OR(ISNUMBER(SEARCH("Jumping", $C$5)),ISNUMBER(SEARCH("Vast Parcours", $C$5)), ISNUMBER(SEARCH("NKT", $C$5))),IF(OR(Table1930[[#This Row],[Disk]]&gt;0,Table1930[[#This Row],[W]]&gt;=3,Table1930[[#This Row],[Tijd]]&gt;$F$3),"Disk",IF(ISBLANK(Table1930[[#This Row],[Tijd]]),"",Table1930[[#This Row],[Fouten]]+MAX(0,Table1930[[#This Row],[Tijd]]-$F$2))),"-")</f>
        <v>0</v>
      </c>
      <c r="N8">
        <f>IFERROR(PRODUCT($F$4,1/Table1930[[#This Row],[Tijd]]),0)</f>
        <v>4.1190476190476186</v>
      </c>
      <c r="O8">
        <f>SUM(Table1930[[#This Row],[W]],Table1930[[#This Row],[A]],Table1930[[#This Row],[F]])*5</f>
        <v>0</v>
      </c>
      <c r="P8" t="str">
        <f>TEXT(Table1930[[#This Row],[Score]],"00,00")&amp;TEXT(Table1930[[#This Row],[Fouten]],"00")&amp;TEXT(Table1930[[#This Row],[Tijd]],"00,000")</f>
        <v>00,000042,000</v>
      </c>
      <c r="Q8" t="str">
        <f>IF(IFERROR(VLOOKUP(Table1930[[#This Row],[SNR]],Deelnemers[#Data],7,0),0)&lt;&gt;$C$4,"Loopt niet in deze groep!",IF(COUNTIF(Table1930[SNR],Table1930[[#This Row],[SNR]])&gt;1,"Dubbel",""))</f>
        <v/>
      </c>
    </row>
    <row r="9" spans="1:17" x14ac:dyDescent="0.2">
      <c r="A9">
        <f>IFERROR(VLOOKUP(Table1930[[#This Row],[SNR]],Deelnemers[#Data],2,0),"")</f>
        <v>165034</v>
      </c>
      <c r="B9">
        <f>IF(VLOOKUP(Table1930[[#This Row],[SNR]],Deelnemers[#Data],8,0)&gt;0,"BM",IF(Table1930[[#This Row],[Score]]="Disk",0,MATCH(Table1930[[#This Row],[Sorteren]],Table1930[Sorteren],0)-COUNTIF($B$7:$B8,"BM")))</f>
        <v>2</v>
      </c>
      <c r="D9" t="str">
        <f>IFERROR(VLOOKUP(Table1930[[#This Row],[SNR]],Deelnemers[#Data],3,0),"")</f>
        <v>Marion Homburg</v>
      </c>
      <c r="E9" t="str">
        <f>IFERROR(VLOOKUP(Table1930[[#This Row],[SNR]],Deelnemers[#Data],4,0),"")</f>
        <v>Maxl</v>
      </c>
      <c r="F9" t="str">
        <f>IFERROR(VLOOKUP(Table1930[[#This Row],[SNR]],Deelnemers[#Data],6,0),"")</f>
        <v>Yorkshire Terriër</v>
      </c>
      <c r="G9">
        <v>21</v>
      </c>
      <c r="H9">
        <v>51.08</v>
      </c>
      <c r="M9">
        <f>IF(OR(ISNUMBER(SEARCH("Jumping", $C$5)),ISNUMBER(SEARCH("Vast Parcours", $C$5)), ISNUMBER(SEARCH("NKT", $C$5))),IF(OR(Table1930[[#This Row],[Disk]]&gt;0,Table1930[[#This Row],[W]]&gt;=3,Table1930[[#This Row],[Tijd]]&gt;$F$3),"Disk",IF(ISBLANK(Table1930[[#This Row],[Tijd]]),"",Table1930[[#This Row],[Fouten]]+MAX(0,Table1930[[#This Row],[Tijd]]-$F$2))),"-")</f>
        <v>3.0799999999999983</v>
      </c>
      <c r="N9">
        <f>IFERROR(PRODUCT($F$4,1/Table1930[[#This Row],[Tijd]]),0)</f>
        <v>3.3868441660140958</v>
      </c>
      <c r="O9">
        <f>SUM(Table1930[[#This Row],[W]],Table1930[[#This Row],[A]],Table1930[[#This Row],[F]])*5</f>
        <v>0</v>
      </c>
      <c r="P9" t="str">
        <f>TEXT(Table1930[[#This Row],[Score]],"00,00")&amp;TEXT(Table1930[[#This Row],[Fouten]],"00")&amp;TEXT(Table1930[[#This Row],[Tijd]],"00,000")</f>
        <v>03,080051,080</v>
      </c>
      <c r="Q9" t="str">
        <f>IF(IFERROR(VLOOKUP(Table1930[[#This Row],[SNR]],Deelnemers[#Data],7,0),0)&lt;&gt;$C$4,"Loopt niet in deze groep!",IF(COUNTIF(Table1930[SNR],Table1930[[#This Row],[SNR]])&gt;1,"Dubbel",""))</f>
        <v/>
      </c>
    </row>
    <row r="10" spans="1:17" x14ac:dyDescent="0.2">
      <c r="A10">
        <f>IFERROR(VLOOKUP(Table1930[[#This Row],[SNR]],Deelnemers[#Data],2,0),"")</f>
        <v>142050</v>
      </c>
      <c r="B10">
        <f>IF(VLOOKUP(Table1930[[#This Row],[SNR]],Deelnemers[#Data],8,0)&gt;0,"BM",IF(Table1930[[#This Row],[Score]]="Disk",0,MATCH(Table1930[[#This Row],[Sorteren]],Table1930[Sorteren],0)-COUNTIF($B$7:$B9,"BM")))</f>
        <v>0</v>
      </c>
      <c r="D10" t="str">
        <f>IFERROR(VLOOKUP(Table1930[[#This Row],[SNR]],Deelnemers[#Data],3,0),"")</f>
        <v>Marouschka Poppema</v>
      </c>
      <c r="E10" t="str">
        <f>IFERROR(VLOOKUP(Table1930[[#This Row],[SNR]],Deelnemers[#Data],4,0),"")</f>
        <v>Hannah</v>
      </c>
      <c r="F10" t="str">
        <f>IFERROR(VLOOKUP(Table1930[[#This Row],[SNR]],Deelnemers[#Data],6,0),"")</f>
        <v>Shetland Sheepdog</v>
      </c>
      <c r="G10" s="9">
        <v>22</v>
      </c>
      <c r="H10" s="9"/>
      <c r="I10" s="9"/>
      <c r="J10" s="9"/>
      <c r="K10" s="9"/>
      <c r="L10" s="9" t="s">
        <v>326</v>
      </c>
      <c r="M10" t="str">
        <f>IF(OR(ISNUMBER(SEARCH("Jumping", $C$5)),ISNUMBER(SEARCH("Vast Parcours", $C$5)), ISNUMBER(SEARCH("NKT", $C$5))),IF(OR(Table1930[[#This Row],[Disk]]&gt;0,Table1930[[#This Row],[W]]&gt;=3,Table1930[[#This Row],[Tijd]]&gt;$F$3),"Disk",IF(ISBLANK(Table1930[[#This Row],[Tijd]]),"",Table1930[[#This Row],[Fouten]]+MAX(0,Table1930[[#This Row],[Tijd]]-$F$2))),"-")</f>
        <v>Disk</v>
      </c>
      <c r="N10">
        <f>IFERROR(PRODUCT($F$4,1/Table1930[[#This Row],[Tijd]]),0)</f>
        <v>0</v>
      </c>
      <c r="O10">
        <f>SUM(Table1930[[#This Row],[W]],Table1930[[#This Row],[A]],Table1930[[#This Row],[F]])*5</f>
        <v>0</v>
      </c>
      <c r="P10" t="str">
        <f>TEXT(Table1930[[#This Row],[Score]],"00,00")&amp;TEXT(Table1930[[#This Row],[Fouten]],"00")&amp;TEXT(Table1930[[#This Row],[Tijd]],"00,000")</f>
        <v>Disk0000,000</v>
      </c>
      <c r="Q10" t="str">
        <f>IF(IFERROR(VLOOKUP(Table1930[[#This Row],[SNR]],Deelnemers[#Data],7,0),0)&lt;&gt;$C$4,"Loopt niet in deze groep!",IF(COUNTIF(Table1930[SNR],Table1930[[#This Row],[SNR]])&gt;1,"Dubbel",""))</f>
        <v/>
      </c>
    </row>
    <row r="11" spans="1:17" x14ac:dyDescent="0.2">
      <c r="A11">
        <f>IFERROR(VLOOKUP(Table1930[[#This Row],[SNR]],Deelnemers[#Data],2,0),"")</f>
        <v>143294</v>
      </c>
      <c r="B11">
        <f>IF(VLOOKUP(Table1930[[#This Row],[SNR]],Deelnemers[#Data],8,0)&gt;0,"BM",IF(Table1930[[#This Row],[Score]]="Disk",0,MATCH(Table1930[[#This Row],[Sorteren]],Table1930[Sorteren],0)-COUNTIF($B$7:$B10,"BM")))</f>
        <v>0</v>
      </c>
      <c r="D11" t="str">
        <f>IFERROR(VLOOKUP(Table1930[[#This Row],[SNR]],Deelnemers[#Data],3,0),"")</f>
        <v>Jeanet Hooijer</v>
      </c>
      <c r="E11" t="str">
        <f>IFERROR(VLOOKUP(Table1930[[#This Row],[SNR]],Deelnemers[#Data],4,0),"")</f>
        <v>Dribbel</v>
      </c>
      <c r="F11" t="str">
        <f>IFERROR(VLOOKUP(Table1930[[#This Row],[SNR]],Deelnemers[#Data],6,0),"")</f>
        <v>boomer</v>
      </c>
      <c r="G11" s="9">
        <v>24</v>
      </c>
      <c r="H11" s="9"/>
      <c r="I11" s="9"/>
      <c r="J11" s="9"/>
      <c r="K11" s="9"/>
      <c r="L11" s="9" t="s">
        <v>326</v>
      </c>
      <c r="M11" t="str">
        <f>IF(OR(ISNUMBER(SEARCH("Jumping", $C$5)),ISNUMBER(SEARCH("Vast Parcours", $C$5)), ISNUMBER(SEARCH("NKT", $C$5))),IF(OR(Table1930[[#This Row],[Disk]]&gt;0,Table1930[[#This Row],[W]]&gt;=3,Table1930[[#This Row],[Tijd]]&gt;$F$3),"Disk",IF(ISBLANK(Table1930[[#This Row],[Tijd]]),"",Table1930[[#This Row],[Fouten]]+MAX(0,Table1930[[#This Row],[Tijd]]-$F$2))),"-")</f>
        <v>Disk</v>
      </c>
      <c r="N11">
        <f>IFERROR(PRODUCT($F$4,1/Table1930[[#This Row],[Tijd]]),0)</f>
        <v>0</v>
      </c>
      <c r="O11">
        <f>SUM(Table1930[[#This Row],[W]],Table1930[[#This Row],[A]],Table1930[[#This Row],[F]])*5</f>
        <v>0</v>
      </c>
      <c r="P11" t="str">
        <f>TEXT(Table1930[[#This Row],[Score]],"00,00")&amp;TEXT(Table1930[[#This Row],[Fouten]],"00")&amp;TEXT(Table1930[[#This Row],[Tijd]],"00,000")</f>
        <v>Disk0000,000</v>
      </c>
      <c r="Q11" t="str">
        <f>IF(IFERROR(VLOOKUP(Table1930[[#This Row],[SNR]],Deelnemers[#Data],7,0),0)&lt;&gt;$C$4,"Loopt niet in deze groep!",IF(COUNTIF(Table1930[SNR],Table1930[[#This Row],[SNR]])&gt;1,"Dubbel",""))</f>
        <v/>
      </c>
    </row>
  </sheetData>
  <mergeCells count="7">
    <mergeCell ref="C1:D1"/>
    <mergeCell ref="C2:D2"/>
    <mergeCell ref="H2:N3"/>
    <mergeCell ref="C3:D3"/>
    <mergeCell ref="C4:D4"/>
    <mergeCell ref="H4:N5"/>
    <mergeCell ref="C5:D5"/>
  </mergeCells>
  <conditionalFormatting sqref="F2:F4">
    <cfRule type="containsBlanks" dxfId="85" priority="2">
      <formula>LEN(TRIM(F2))=0</formula>
    </cfRule>
  </conditionalFormatting>
  <conditionalFormatting sqref="F1">
    <cfRule type="containsBlanks" dxfId="84" priority="1">
      <formula>LEN(TRIM(F1))=0</formula>
    </cfRule>
  </conditionalFormatting>
  <dataValidations count="2">
    <dataValidation type="list" allowBlank="1" showInputMessage="1" showErrorMessage="1" sqref="F1" xr:uid="{7752DEA3-6873-E646-A240-F073603DB266}">
      <formula1>KeurmeesterLijst</formula1>
    </dataValidation>
    <dataValidation type="list" allowBlank="1" showInputMessage="1" showErrorMessage="1" sqref="C4" xr:uid="{94C21AA1-FF60-A34A-BD68-D8D8C4ADCBD6}">
      <formula1>GroepLijst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0"/>
  <sheetViews>
    <sheetView topLeftCell="A37" zoomScale="125" workbookViewId="0">
      <selection activeCell="B8" sqref="B8"/>
    </sheetView>
  </sheetViews>
  <sheetFormatPr baseColWidth="10" defaultColWidth="8.83203125" defaultRowHeight="15" x14ac:dyDescent="0.2"/>
  <cols>
    <col min="1" max="1" width="5.6640625" customWidth="1"/>
    <col min="3" max="3" width="25.6640625" customWidth="1"/>
    <col min="4" max="4" width="20.6640625" customWidth="1"/>
    <col min="5" max="5" width="15.6640625" customWidth="1"/>
    <col min="6" max="6" width="30.6640625" customWidth="1"/>
    <col min="7" max="8" width="15.6640625" customWidth="1"/>
  </cols>
  <sheetData>
    <row r="1" spans="1:8" x14ac:dyDescent="0.2">
      <c r="A1" t="s">
        <v>51</v>
      </c>
    </row>
    <row r="3" spans="1:8" x14ac:dyDescent="0.2">
      <c r="A3" t="s">
        <v>52</v>
      </c>
      <c r="B3" t="s">
        <v>53</v>
      </c>
      <c r="C3" t="s">
        <v>54</v>
      </c>
      <c r="D3" t="s">
        <v>55</v>
      </c>
      <c r="E3" t="s">
        <v>56</v>
      </c>
      <c r="F3" t="s">
        <v>57</v>
      </c>
      <c r="G3" t="s">
        <v>58</v>
      </c>
      <c r="H3" t="s">
        <v>59</v>
      </c>
    </row>
    <row r="4" spans="1:8" x14ac:dyDescent="0.2">
      <c r="A4" s="5">
        <v>1</v>
      </c>
      <c r="B4">
        <v>140201</v>
      </c>
      <c r="C4" t="s">
        <v>267</v>
      </c>
      <c r="D4" t="s">
        <v>268</v>
      </c>
      <c r="E4" s="2">
        <v>41060</v>
      </c>
      <c r="F4" t="s">
        <v>269</v>
      </c>
      <c r="G4" t="s">
        <v>6</v>
      </c>
    </row>
    <row r="5" spans="1:8" x14ac:dyDescent="0.2">
      <c r="A5" s="5">
        <v>2</v>
      </c>
      <c r="B5">
        <v>146145</v>
      </c>
      <c r="C5" t="s">
        <v>111</v>
      </c>
      <c r="D5" t="s">
        <v>275</v>
      </c>
      <c r="E5" s="2">
        <v>41366</v>
      </c>
      <c r="F5" t="s">
        <v>92</v>
      </c>
      <c r="G5" t="s">
        <v>6</v>
      </c>
    </row>
    <row r="6" spans="1:8" x14ac:dyDescent="0.2">
      <c r="A6" s="5">
        <v>3</v>
      </c>
      <c r="B6">
        <v>155144</v>
      </c>
      <c r="C6" t="s">
        <v>270</v>
      </c>
      <c r="D6" t="s">
        <v>271</v>
      </c>
      <c r="E6" s="2">
        <v>41732</v>
      </c>
      <c r="F6" t="s">
        <v>72</v>
      </c>
      <c r="G6" t="s">
        <v>6</v>
      </c>
    </row>
    <row r="7" spans="1:8" x14ac:dyDescent="0.2">
      <c r="A7" s="5">
        <v>4</v>
      </c>
      <c r="B7">
        <v>421463</v>
      </c>
      <c r="C7" t="s">
        <v>115</v>
      </c>
      <c r="D7" t="s">
        <v>276</v>
      </c>
      <c r="E7" s="2">
        <v>40351</v>
      </c>
      <c r="F7" t="s">
        <v>72</v>
      </c>
      <c r="G7" t="s">
        <v>6</v>
      </c>
    </row>
    <row r="8" spans="1:8" x14ac:dyDescent="0.2">
      <c r="A8" s="5">
        <v>5</v>
      </c>
      <c r="B8">
        <v>434035</v>
      </c>
      <c r="C8" t="s">
        <v>273</v>
      </c>
      <c r="D8" t="s">
        <v>274</v>
      </c>
      <c r="E8" s="2">
        <v>40949</v>
      </c>
      <c r="F8" t="s">
        <v>72</v>
      </c>
      <c r="G8" t="s">
        <v>6</v>
      </c>
    </row>
    <row r="9" spans="1:8" x14ac:dyDescent="0.2">
      <c r="A9" s="5">
        <v>6</v>
      </c>
      <c r="B9">
        <v>400949</v>
      </c>
      <c r="C9" t="s">
        <v>101</v>
      </c>
      <c r="D9" t="s">
        <v>272</v>
      </c>
      <c r="E9" s="2">
        <v>39602</v>
      </c>
      <c r="F9" t="s">
        <v>103</v>
      </c>
      <c r="G9" t="s">
        <v>6</v>
      </c>
    </row>
    <row r="10" spans="1:8" x14ac:dyDescent="0.2">
      <c r="A10" s="5">
        <v>7</v>
      </c>
      <c r="B10">
        <v>176850</v>
      </c>
      <c r="C10" t="s">
        <v>250</v>
      </c>
      <c r="D10" t="s">
        <v>287</v>
      </c>
      <c r="E10" s="2">
        <v>40638</v>
      </c>
      <c r="F10" t="s">
        <v>143</v>
      </c>
      <c r="G10" t="s">
        <v>7</v>
      </c>
    </row>
    <row r="11" spans="1:8" x14ac:dyDescent="0.2">
      <c r="A11" s="5">
        <v>8</v>
      </c>
      <c r="B11">
        <v>423117</v>
      </c>
      <c r="C11" t="s">
        <v>173</v>
      </c>
      <c r="D11" t="s">
        <v>289</v>
      </c>
      <c r="E11" s="2">
        <v>40476</v>
      </c>
      <c r="F11" t="s">
        <v>143</v>
      </c>
      <c r="G11" t="s">
        <v>7</v>
      </c>
    </row>
    <row r="12" spans="1:8" x14ac:dyDescent="0.2">
      <c r="A12" s="5">
        <v>9</v>
      </c>
      <c r="B12">
        <v>411891</v>
      </c>
      <c r="C12" t="s">
        <v>256</v>
      </c>
      <c r="D12" t="s">
        <v>277</v>
      </c>
      <c r="E12" s="2">
        <v>39561</v>
      </c>
      <c r="F12" t="s">
        <v>278</v>
      </c>
      <c r="G12" t="s">
        <v>7</v>
      </c>
    </row>
    <row r="13" spans="1:8" x14ac:dyDescent="0.2">
      <c r="A13" s="5">
        <v>10</v>
      </c>
      <c r="B13">
        <v>145157</v>
      </c>
      <c r="C13" t="s">
        <v>280</v>
      </c>
      <c r="D13" t="s">
        <v>281</v>
      </c>
      <c r="E13" s="2">
        <v>41393</v>
      </c>
      <c r="F13" t="s">
        <v>282</v>
      </c>
      <c r="G13" t="s">
        <v>7</v>
      </c>
    </row>
    <row r="14" spans="1:8" x14ac:dyDescent="0.2">
      <c r="A14" s="5">
        <v>11</v>
      </c>
      <c r="B14">
        <v>422447</v>
      </c>
      <c r="C14" t="s">
        <v>246</v>
      </c>
      <c r="D14" t="s">
        <v>283</v>
      </c>
      <c r="E14" s="2">
        <v>40189</v>
      </c>
      <c r="F14" t="s">
        <v>248</v>
      </c>
      <c r="G14" t="s">
        <v>7</v>
      </c>
    </row>
    <row r="15" spans="1:8" x14ac:dyDescent="0.2">
      <c r="A15" s="5">
        <v>12</v>
      </c>
      <c r="B15">
        <v>142271</v>
      </c>
      <c r="C15" t="s">
        <v>284</v>
      </c>
      <c r="D15" t="s">
        <v>285</v>
      </c>
      <c r="E15" s="2">
        <v>40994</v>
      </c>
      <c r="F15" t="s">
        <v>286</v>
      </c>
      <c r="G15" t="s">
        <v>7</v>
      </c>
    </row>
    <row r="16" spans="1:8" x14ac:dyDescent="0.2">
      <c r="A16" s="5">
        <v>13</v>
      </c>
      <c r="B16">
        <v>154539</v>
      </c>
      <c r="C16" t="s">
        <v>173</v>
      </c>
      <c r="D16" t="s">
        <v>288</v>
      </c>
      <c r="E16" s="2">
        <v>41716</v>
      </c>
      <c r="F16" t="s">
        <v>143</v>
      </c>
      <c r="G16" t="s">
        <v>7</v>
      </c>
    </row>
    <row r="17" spans="1:7" x14ac:dyDescent="0.2">
      <c r="A17" s="5">
        <v>14</v>
      </c>
      <c r="B17">
        <v>433357</v>
      </c>
      <c r="C17" t="s">
        <v>273</v>
      </c>
      <c r="D17" t="s">
        <v>297</v>
      </c>
      <c r="E17" s="2">
        <v>40682</v>
      </c>
      <c r="F17" t="s">
        <v>298</v>
      </c>
      <c r="G17" t="s">
        <v>8</v>
      </c>
    </row>
    <row r="18" spans="1:7" x14ac:dyDescent="0.2">
      <c r="A18" s="5">
        <v>15</v>
      </c>
      <c r="B18">
        <v>152862</v>
      </c>
      <c r="C18" t="s">
        <v>290</v>
      </c>
      <c r="D18" t="s">
        <v>291</v>
      </c>
      <c r="E18" s="2">
        <v>41608</v>
      </c>
      <c r="F18" t="s">
        <v>143</v>
      </c>
      <c r="G18" t="s">
        <v>8</v>
      </c>
    </row>
    <row r="19" spans="1:7" x14ac:dyDescent="0.2">
      <c r="A19" s="5">
        <v>16</v>
      </c>
      <c r="B19">
        <v>420232</v>
      </c>
      <c r="C19" t="s">
        <v>165</v>
      </c>
      <c r="D19" t="s">
        <v>295</v>
      </c>
      <c r="E19" s="2">
        <v>40239</v>
      </c>
      <c r="F19" t="s">
        <v>296</v>
      </c>
      <c r="G19" t="s">
        <v>8</v>
      </c>
    </row>
    <row r="20" spans="1:7" x14ac:dyDescent="0.2">
      <c r="A20" s="5">
        <v>17</v>
      </c>
      <c r="B20">
        <v>144495</v>
      </c>
      <c r="C20" t="s">
        <v>292</v>
      </c>
      <c r="D20" t="s">
        <v>293</v>
      </c>
      <c r="E20" s="2">
        <v>40882</v>
      </c>
      <c r="F20" t="s">
        <v>294</v>
      </c>
      <c r="G20" t="s">
        <v>8</v>
      </c>
    </row>
    <row r="21" spans="1:7" x14ac:dyDescent="0.2">
      <c r="A21" s="5">
        <v>21</v>
      </c>
      <c r="B21">
        <v>165034</v>
      </c>
      <c r="C21" t="s">
        <v>259</v>
      </c>
      <c r="D21" t="s">
        <v>260</v>
      </c>
      <c r="E21" s="2">
        <v>40706</v>
      </c>
      <c r="F21" t="s">
        <v>261</v>
      </c>
      <c r="G21" t="s">
        <v>5</v>
      </c>
    </row>
    <row r="22" spans="1:7" x14ac:dyDescent="0.2">
      <c r="A22" s="5">
        <v>22</v>
      </c>
      <c r="B22">
        <v>142050</v>
      </c>
      <c r="C22" t="s">
        <v>265</v>
      </c>
      <c r="D22" t="s">
        <v>266</v>
      </c>
      <c r="E22" s="2">
        <v>41097</v>
      </c>
      <c r="F22" t="s">
        <v>143</v>
      </c>
      <c r="G22" t="s">
        <v>5</v>
      </c>
    </row>
    <row r="23" spans="1:7" x14ac:dyDescent="0.2">
      <c r="A23" s="5">
        <v>23</v>
      </c>
      <c r="B23">
        <v>150762</v>
      </c>
      <c r="C23" t="s">
        <v>256</v>
      </c>
      <c r="D23" t="s">
        <v>257</v>
      </c>
      <c r="E23" s="2">
        <v>41379</v>
      </c>
      <c r="F23" t="s">
        <v>258</v>
      </c>
      <c r="G23" t="s">
        <v>5</v>
      </c>
    </row>
    <row r="24" spans="1:7" x14ac:dyDescent="0.2">
      <c r="A24" s="5">
        <v>24</v>
      </c>
      <c r="B24">
        <v>143294</v>
      </c>
      <c r="C24" t="s">
        <v>262</v>
      </c>
      <c r="D24" t="s">
        <v>263</v>
      </c>
      <c r="E24" s="2">
        <v>40777</v>
      </c>
      <c r="F24" t="s">
        <v>264</v>
      </c>
      <c r="G24" t="s">
        <v>5</v>
      </c>
    </row>
    <row r="25" spans="1:7" x14ac:dyDescent="0.2">
      <c r="A25" s="5">
        <v>25</v>
      </c>
      <c r="B25">
        <v>142506</v>
      </c>
      <c r="C25" t="s">
        <v>243</v>
      </c>
      <c r="D25" t="s">
        <v>244</v>
      </c>
      <c r="E25" s="2">
        <v>40825</v>
      </c>
      <c r="F25" t="s">
        <v>245</v>
      </c>
      <c r="G25" t="s">
        <v>4</v>
      </c>
    </row>
    <row r="26" spans="1:7" x14ac:dyDescent="0.2">
      <c r="A26" s="5">
        <v>26</v>
      </c>
      <c r="B26">
        <v>162035</v>
      </c>
      <c r="C26" t="s">
        <v>240</v>
      </c>
      <c r="D26" t="s">
        <v>241</v>
      </c>
      <c r="E26" s="2">
        <v>41923</v>
      </c>
      <c r="F26" t="s">
        <v>242</v>
      </c>
      <c r="G26" t="s">
        <v>4</v>
      </c>
    </row>
    <row r="27" spans="1:7" x14ac:dyDescent="0.2">
      <c r="A27" s="5">
        <v>27</v>
      </c>
      <c r="B27">
        <v>143588</v>
      </c>
      <c r="C27" t="s">
        <v>253</v>
      </c>
      <c r="D27" t="s">
        <v>254</v>
      </c>
      <c r="E27" s="2">
        <v>41293</v>
      </c>
      <c r="F27" t="s">
        <v>255</v>
      </c>
      <c r="G27" t="s">
        <v>4</v>
      </c>
    </row>
    <row r="28" spans="1:7" x14ac:dyDescent="0.2">
      <c r="A28" s="5">
        <v>28</v>
      </c>
      <c r="B28">
        <v>154709</v>
      </c>
      <c r="C28" t="s">
        <v>246</v>
      </c>
      <c r="D28" t="s">
        <v>247</v>
      </c>
      <c r="E28" s="2">
        <v>41941</v>
      </c>
      <c r="F28" t="s">
        <v>248</v>
      </c>
      <c r="G28" t="s">
        <v>4</v>
      </c>
    </row>
    <row r="29" spans="1:7" x14ac:dyDescent="0.2">
      <c r="A29" s="5">
        <v>29</v>
      </c>
      <c r="B29">
        <v>432638</v>
      </c>
      <c r="C29" t="s">
        <v>250</v>
      </c>
      <c r="D29" t="s">
        <v>251</v>
      </c>
      <c r="E29" s="2">
        <v>40828</v>
      </c>
      <c r="F29" t="s">
        <v>252</v>
      </c>
      <c r="G29" t="s">
        <v>4</v>
      </c>
    </row>
    <row r="30" spans="1:7" x14ac:dyDescent="0.2">
      <c r="A30" s="5">
        <v>30</v>
      </c>
      <c r="B30">
        <v>173606</v>
      </c>
      <c r="C30" t="s">
        <v>36</v>
      </c>
      <c r="D30" t="s">
        <v>249</v>
      </c>
      <c r="E30" s="2">
        <v>40840</v>
      </c>
      <c r="F30" t="s">
        <v>72</v>
      </c>
      <c r="G30" t="s">
        <v>4</v>
      </c>
    </row>
    <row r="31" spans="1:7" x14ac:dyDescent="0.2">
      <c r="A31" s="5">
        <v>31</v>
      </c>
      <c r="B31">
        <v>403676</v>
      </c>
      <c r="C31" t="s">
        <v>188</v>
      </c>
      <c r="D31" t="s">
        <v>189</v>
      </c>
      <c r="E31" s="2">
        <v>39640</v>
      </c>
      <c r="F31" t="s">
        <v>190</v>
      </c>
      <c r="G31" t="s">
        <v>3</v>
      </c>
    </row>
    <row r="32" spans="1:7" x14ac:dyDescent="0.2">
      <c r="A32" s="5">
        <v>32</v>
      </c>
      <c r="B32">
        <v>430844</v>
      </c>
      <c r="C32" t="s">
        <v>136</v>
      </c>
      <c r="D32" t="s">
        <v>191</v>
      </c>
      <c r="E32" s="2">
        <v>40395</v>
      </c>
      <c r="F32" t="s">
        <v>130</v>
      </c>
      <c r="G32" t="s">
        <v>3</v>
      </c>
    </row>
    <row r="33" spans="1:7" x14ac:dyDescent="0.2">
      <c r="A33" s="5">
        <v>33</v>
      </c>
      <c r="B33">
        <v>176702</v>
      </c>
      <c r="C33" t="s">
        <v>211</v>
      </c>
      <c r="D33" t="s">
        <v>212</v>
      </c>
      <c r="E33" s="2">
        <v>42237</v>
      </c>
      <c r="F33" t="s">
        <v>161</v>
      </c>
      <c r="G33" t="s">
        <v>3</v>
      </c>
    </row>
    <row r="34" spans="1:7" x14ac:dyDescent="0.2">
      <c r="A34" s="5">
        <v>34</v>
      </c>
      <c r="B34">
        <v>172332</v>
      </c>
      <c r="C34" t="s">
        <v>181</v>
      </c>
      <c r="D34" t="s">
        <v>182</v>
      </c>
      <c r="E34" s="2">
        <v>42090</v>
      </c>
      <c r="F34" t="s">
        <v>183</v>
      </c>
      <c r="G34" t="s">
        <v>3</v>
      </c>
    </row>
    <row r="35" spans="1:7" x14ac:dyDescent="0.2">
      <c r="A35" s="5">
        <v>35</v>
      </c>
      <c r="B35">
        <v>170739</v>
      </c>
      <c r="C35" t="s">
        <v>229</v>
      </c>
      <c r="D35" t="s">
        <v>230</v>
      </c>
      <c r="E35" s="2">
        <v>40270</v>
      </c>
      <c r="F35" t="s">
        <v>231</v>
      </c>
      <c r="G35" t="s">
        <v>3</v>
      </c>
    </row>
    <row r="36" spans="1:7" x14ac:dyDescent="0.2">
      <c r="A36" s="5">
        <v>36</v>
      </c>
      <c r="B36">
        <v>155780</v>
      </c>
      <c r="C36" t="s">
        <v>238</v>
      </c>
      <c r="D36" t="s">
        <v>239</v>
      </c>
      <c r="E36" s="2">
        <v>41504</v>
      </c>
      <c r="F36" t="s">
        <v>62</v>
      </c>
      <c r="G36" t="s">
        <v>3</v>
      </c>
    </row>
    <row r="37" spans="1:7" x14ac:dyDescent="0.2">
      <c r="A37" s="5">
        <v>37</v>
      </c>
      <c r="B37">
        <v>155063</v>
      </c>
      <c r="C37" t="s">
        <v>195</v>
      </c>
      <c r="D37" t="s">
        <v>196</v>
      </c>
      <c r="E37" s="2">
        <v>41766</v>
      </c>
      <c r="F37" t="s">
        <v>197</v>
      </c>
      <c r="G37" t="s">
        <v>3</v>
      </c>
    </row>
    <row r="38" spans="1:7" x14ac:dyDescent="0.2">
      <c r="A38" s="5">
        <v>38</v>
      </c>
      <c r="B38">
        <v>155004</v>
      </c>
      <c r="C38" t="s">
        <v>226</v>
      </c>
      <c r="D38" t="s">
        <v>227</v>
      </c>
      <c r="E38" s="2">
        <v>41733</v>
      </c>
      <c r="F38" t="s">
        <v>228</v>
      </c>
      <c r="G38" t="s">
        <v>3</v>
      </c>
    </row>
    <row r="39" spans="1:7" x14ac:dyDescent="0.2">
      <c r="A39" s="5">
        <v>39</v>
      </c>
      <c r="B39">
        <v>400073</v>
      </c>
      <c r="C39" t="s">
        <v>218</v>
      </c>
      <c r="D39" t="s">
        <v>219</v>
      </c>
      <c r="E39" s="2">
        <v>39640</v>
      </c>
      <c r="F39" t="s">
        <v>72</v>
      </c>
      <c r="G39" t="s">
        <v>3</v>
      </c>
    </row>
    <row r="40" spans="1:7" x14ac:dyDescent="0.2">
      <c r="A40" s="5">
        <v>40</v>
      </c>
      <c r="B40">
        <v>415396</v>
      </c>
      <c r="C40" t="s">
        <v>232</v>
      </c>
      <c r="D40" t="s">
        <v>233</v>
      </c>
      <c r="E40" s="2">
        <v>40264</v>
      </c>
      <c r="F40" t="s">
        <v>72</v>
      </c>
      <c r="G40" t="s">
        <v>3</v>
      </c>
    </row>
    <row r="41" spans="1:7" x14ac:dyDescent="0.2">
      <c r="A41" s="5">
        <v>41</v>
      </c>
      <c r="B41">
        <v>160474</v>
      </c>
      <c r="C41" t="s">
        <v>99</v>
      </c>
      <c r="D41" t="s">
        <v>217</v>
      </c>
      <c r="E41" s="2">
        <v>41977</v>
      </c>
      <c r="F41" t="s">
        <v>72</v>
      </c>
      <c r="G41" t="s">
        <v>3</v>
      </c>
    </row>
    <row r="42" spans="1:7" x14ac:dyDescent="0.2">
      <c r="A42" s="5">
        <v>42</v>
      </c>
      <c r="B42">
        <v>163473</v>
      </c>
      <c r="C42" t="s">
        <v>117</v>
      </c>
      <c r="D42" t="s">
        <v>234</v>
      </c>
      <c r="E42" s="2">
        <v>41940</v>
      </c>
      <c r="F42" t="s">
        <v>72</v>
      </c>
      <c r="G42" t="s">
        <v>3</v>
      </c>
    </row>
    <row r="43" spans="1:7" x14ac:dyDescent="0.2">
      <c r="A43" s="5">
        <v>43</v>
      </c>
      <c r="B43">
        <v>171964</v>
      </c>
      <c r="C43" t="s">
        <v>236</v>
      </c>
      <c r="D43" t="s">
        <v>237</v>
      </c>
      <c r="E43" s="2">
        <v>41619</v>
      </c>
      <c r="F43" t="s">
        <v>72</v>
      </c>
      <c r="G43" t="s">
        <v>3</v>
      </c>
    </row>
    <row r="44" spans="1:7" x14ac:dyDescent="0.2">
      <c r="A44" s="5">
        <v>44</v>
      </c>
      <c r="B44">
        <v>165018</v>
      </c>
      <c r="C44" t="s">
        <v>184</v>
      </c>
      <c r="D44" t="s">
        <v>185</v>
      </c>
      <c r="E44" s="2">
        <v>42015</v>
      </c>
      <c r="F44" t="s">
        <v>72</v>
      </c>
      <c r="G44" t="s">
        <v>3</v>
      </c>
    </row>
    <row r="45" spans="1:7" x14ac:dyDescent="0.2">
      <c r="A45" s="5">
        <v>45</v>
      </c>
      <c r="B45">
        <v>145602</v>
      </c>
      <c r="C45" t="s">
        <v>192</v>
      </c>
      <c r="D45" t="s">
        <v>193</v>
      </c>
      <c r="E45" s="2">
        <v>41394</v>
      </c>
      <c r="F45" t="s">
        <v>66</v>
      </c>
      <c r="G45" t="s">
        <v>3</v>
      </c>
    </row>
    <row r="46" spans="1:7" x14ac:dyDescent="0.2">
      <c r="A46" s="5">
        <v>46</v>
      </c>
      <c r="B46">
        <v>412818</v>
      </c>
      <c r="C46" t="s">
        <v>119</v>
      </c>
      <c r="D46" t="s">
        <v>235</v>
      </c>
      <c r="E46" s="2">
        <v>39592</v>
      </c>
      <c r="F46" t="s">
        <v>72</v>
      </c>
      <c r="G46" t="s">
        <v>3</v>
      </c>
    </row>
    <row r="47" spans="1:7" x14ac:dyDescent="0.2">
      <c r="A47" s="5">
        <v>47</v>
      </c>
      <c r="B47">
        <v>161772</v>
      </c>
      <c r="C47" t="s">
        <v>205</v>
      </c>
      <c r="D47" t="s">
        <v>206</v>
      </c>
      <c r="E47" s="2">
        <v>41590</v>
      </c>
      <c r="F47" t="s">
        <v>72</v>
      </c>
      <c r="G47" t="s">
        <v>3</v>
      </c>
    </row>
    <row r="48" spans="1:7" x14ac:dyDescent="0.2">
      <c r="A48" s="5">
        <v>48</v>
      </c>
      <c r="B48">
        <v>163961</v>
      </c>
      <c r="C48" t="s">
        <v>215</v>
      </c>
      <c r="D48" t="s">
        <v>216</v>
      </c>
      <c r="E48" s="2">
        <v>41608</v>
      </c>
      <c r="F48" t="s">
        <v>72</v>
      </c>
      <c r="G48" t="s">
        <v>3</v>
      </c>
    </row>
    <row r="49" spans="1:7" x14ac:dyDescent="0.2">
      <c r="A49" s="5">
        <v>49</v>
      </c>
      <c r="B49">
        <v>150770</v>
      </c>
      <c r="C49" t="s">
        <v>104</v>
      </c>
      <c r="D49" t="s">
        <v>223</v>
      </c>
      <c r="E49" s="2">
        <v>41496</v>
      </c>
      <c r="F49" t="s">
        <v>72</v>
      </c>
      <c r="G49" t="s">
        <v>3</v>
      </c>
    </row>
    <row r="50" spans="1:7" x14ac:dyDescent="0.2">
      <c r="A50" s="5">
        <v>50</v>
      </c>
      <c r="B50">
        <v>172642</v>
      </c>
      <c r="C50" t="s">
        <v>186</v>
      </c>
      <c r="D50" t="s">
        <v>187</v>
      </c>
      <c r="E50" s="2">
        <v>42226</v>
      </c>
      <c r="F50" t="s">
        <v>72</v>
      </c>
      <c r="G50" t="s">
        <v>3</v>
      </c>
    </row>
    <row r="51" spans="1:7" x14ac:dyDescent="0.2">
      <c r="A51" s="5">
        <v>51</v>
      </c>
      <c r="B51">
        <v>143553</v>
      </c>
      <c r="C51" t="s">
        <v>208</v>
      </c>
      <c r="D51" t="s">
        <v>209</v>
      </c>
      <c r="E51" s="2">
        <v>41056</v>
      </c>
      <c r="F51" t="s">
        <v>210</v>
      </c>
      <c r="G51" t="s">
        <v>3</v>
      </c>
    </row>
    <row r="52" spans="1:7" x14ac:dyDescent="0.2">
      <c r="A52" s="5">
        <v>52</v>
      </c>
      <c r="B52">
        <v>154504</v>
      </c>
      <c r="C52" t="s">
        <v>213</v>
      </c>
      <c r="D52" t="s">
        <v>214</v>
      </c>
      <c r="E52" s="2">
        <v>41536</v>
      </c>
      <c r="F52" t="s">
        <v>210</v>
      </c>
      <c r="G52" t="s">
        <v>3</v>
      </c>
    </row>
    <row r="53" spans="1:7" x14ac:dyDescent="0.2">
      <c r="A53" s="5">
        <v>53</v>
      </c>
      <c r="B53">
        <v>141216</v>
      </c>
      <c r="C53" t="s">
        <v>224</v>
      </c>
      <c r="D53" t="s">
        <v>225</v>
      </c>
      <c r="E53" s="2">
        <v>40717</v>
      </c>
      <c r="F53" t="s">
        <v>103</v>
      </c>
      <c r="G53" t="s">
        <v>3</v>
      </c>
    </row>
    <row r="54" spans="1:7" x14ac:dyDescent="0.2">
      <c r="A54" s="5">
        <v>54</v>
      </c>
      <c r="B54">
        <v>170542</v>
      </c>
      <c r="C54" t="s">
        <v>220</v>
      </c>
      <c r="D54" t="s">
        <v>221</v>
      </c>
      <c r="E54" s="2">
        <v>42111</v>
      </c>
      <c r="F54" t="s">
        <v>103</v>
      </c>
      <c r="G54" t="s">
        <v>3</v>
      </c>
    </row>
    <row r="55" spans="1:7" x14ac:dyDescent="0.2">
      <c r="A55" s="5">
        <v>55</v>
      </c>
      <c r="B55">
        <v>144371</v>
      </c>
      <c r="C55" t="s">
        <v>101</v>
      </c>
      <c r="D55" t="s">
        <v>222</v>
      </c>
      <c r="E55" s="2">
        <v>41317</v>
      </c>
      <c r="F55" t="s">
        <v>103</v>
      </c>
      <c r="G55" t="s">
        <v>3</v>
      </c>
    </row>
    <row r="56" spans="1:7" x14ac:dyDescent="0.2">
      <c r="A56" s="5">
        <v>56</v>
      </c>
      <c r="B56">
        <v>174386</v>
      </c>
      <c r="C56" t="s">
        <v>199</v>
      </c>
      <c r="D56" t="s">
        <v>200</v>
      </c>
      <c r="E56" s="2">
        <v>42306</v>
      </c>
      <c r="F56" t="s">
        <v>103</v>
      </c>
      <c r="G56" t="s">
        <v>3</v>
      </c>
    </row>
    <row r="57" spans="1:7" x14ac:dyDescent="0.2">
      <c r="A57" s="5">
        <v>57</v>
      </c>
      <c r="B57">
        <v>165247</v>
      </c>
      <c r="C57" t="s">
        <v>93</v>
      </c>
      <c r="D57" t="s">
        <v>207</v>
      </c>
      <c r="E57" s="2">
        <v>40041</v>
      </c>
      <c r="F57" t="s">
        <v>95</v>
      </c>
      <c r="G57" t="s">
        <v>3</v>
      </c>
    </row>
    <row r="58" spans="1:7" x14ac:dyDescent="0.2">
      <c r="A58" s="5">
        <v>58</v>
      </c>
      <c r="B58">
        <v>164895</v>
      </c>
      <c r="C58" t="s">
        <v>198</v>
      </c>
      <c r="D58" t="s">
        <v>145</v>
      </c>
      <c r="E58" s="2">
        <v>41414</v>
      </c>
      <c r="F58" t="s">
        <v>110</v>
      </c>
      <c r="G58" t="s">
        <v>3</v>
      </c>
    </row>
    <row r="59" spans="1:7" x14ac:dyDescent="0.2">
      <c r="A59" s="5">
        <v>59</v>
      </c>
      <c r="B59">
        <v>165468</v>
      </c>
      <c r="C59" t="s">
        <v>194</v>
      </c>
      <c r="D59" t="s">
        <v>98</v>
      </c>
      <c r="E59" s="2">
        <v>41939</v>
      </c>
      <c r="F59" t="s">
        <v>95</v>
      </c>
      <c r="G59" t="s">
        <v>3</v>
      </c>
    </row>
    <row r="60" spans="1:7" x14ac:dyDescent="0.2">
      <c r="A60" s="5">
        <v>60</v>
      </c>
      <c r="B60">
        <v>150339</v>
      </c>
      <c r="C60" t="s">
        <v>203</v>
      </c>
      <c r="D60" t="s">
        <v>204</v>
      </c>
      <c r="E60" s="2">
        <v>41431</v>
      </c>
      <c r="F60" t="s">
        <v>69</v>
      </c>
      <c r="G60" t="s">
        <v>3</v>
      </c>
    </row>
    <row r="61" spans="1:7" x14ac:dyDescent="0.2">
      <c r="A61" s="5">
        <v>61</v>
      </c>
      <c r="B61">
        <v>163686</v>
      </c>
      <c r="C61" t="s">
        <v>138</v>
      </c>
      <c r="D61" t="s">
        <v>201</v>
      </c>
      <c r="E61" s="2">
        <v>40778</v>
      </c>
      <c r="F61" t="s">
        <v>202</v>
      </c>
      <c r="G61" t="s">
        <v>3</v>
      </c>
    </row>
    <row r="62" spans="1:7" x14ac:dyDescent="0.2">
      <c r="A62" s="5">
        <v>71</v>
      </c>
      <c r="B62">
        <v>174742</v>
      </c>
      <c r="C62" t="s">
        <v>93</v>
      </c>
      <c r="D62" t="s">
        <v>94</v>
      </c>
      <c r="E62" s="2">
        <v>42035</v>
      </c>
      <c r="F62" t="s">
        <v>95</v>
      </c>
      <c r="G62" t="s">
        <v>0</v>
      </c>
    </row>
    <row r="63" spans="1:7" x14ac:dyDescent="0.2">
      <c r="A63" s="5">
        <v>73</v>
      </c>
      <c r="B63">
        <v>151378</v>
      </c>
      <c r="C63" t="s">
        <v>73</v>
      </c>
      <c r="D63" t="s">
        <v>74</v>
      </c>
      <c r="E63" s="2">
        <v>40987</v>
      </c>
      <c r="F63" t="s">
        <v>75</v>
      </c>
      <c r="G63" t="s">
        <v>0</v>
      </c>
    </row>
    <row r="64" spans="1:7" x14ac:dyDescent="0.2">
      <c r="A64" s="5">
        <v>74</v>
      </c>
      <c r="B64">
        <v>174998</v>
      </c>
      <c r="C64" t="s">
        <v>82</v>
      </c>
      <c r="D64" t="s">
        <v>83</v>
      </c>
      <c r="E64" s="2">
        <v>42267</v>
      </c>
      <c r="F64" t="s">
        <v>84</v>
      </c>
      <c r="G64" t="s">
        <v>0</v>
      </c>
    </row>
    <row r="65" spans="1:7" x14ac:dyDescent="0.2">
      <c r="A65" s="5">
        <v>75</v>
      </c>
      <c r="B65">
        <v>163023</v>
      </c>
      <c r="C65" t="s">
        <v>85</v>
      </c>
      <c r="D65" t="s">
        <v>86</v>
      </c>
      <c r="E65" s="2">
        <v>40831</v>
      </c>
      <c r="F65" t="s">
        <v>87</v>
      </c>
      <c r="G65" t="s">
        <v>0</v>
      </c>
    </row>
    <row r="66" spans="1:7" x14ac:dyDescent="0.2">
      <c r="A66" s="5">
        <v>76</v>
      </c>
      <c r="B66">
        <v>183911</v>
      </c>
      <c r="C66" t="s">
        <v>79</v>
      </c>
      <c r="D66" t="s">
        <v>80</v>
      </c>
      <c r="E66" s="2">
        <v>42145</v>
      </c>
      <c r="F66" t="s">
        <v>81</v>
      </c>
      <c r="G66" t="s">
        <v>0</v>
      </c>
    </row>
    <row r="67" spans="1:7" x14ac:dyDescent="0.2">
      <c r="A67" s="5">
        <v>77</v>
      </c>
      <c r="B67">
        <v>172596</v>
      </c>
      <c r="C67" t="s">
        <v>128</v>
      </c>
      <c r="D67" t="s">
        <v>129</v>
      </c>
      <c r="E67" s="2">
        <v>41075</v>
      </c>
      <c r="F67" t="s">
        <v>130</v>
      </c>
      <c r="G67" t="s">
        <v>0</v>
      </c>
    </row>
    <row r="68" spans="1:7" x14ac:dyDescent="0.2">
      <c r="A68" s="5">
        <v>78</v>
      </c>
      <c r="B68">
        <v>171387</v>
      </c>
      <c r="C68" t="s">
        <v>90</v>
      </c>
      <c r="D68" t="s">
        <v>91</v>
      </c>
      <c r="E68" s="2">
        <v>41518</v>
      </c>
      <c r="F68" t="s">
        <v>92</v>
      </c>
      <c r="G68" t="s">
        <v>0</v>
      </c>
    </row>
    <row r="69" spans="1:7" x14ac:dyDescent="0.2">
      <c r="A69" s="5">
        <v>79</v>
      </c>
      <c r="B69">
        <v>430646</v>
      </c>
      <c r="C69" t="s">
        <v>60</v>
      </c>
      <c r="D69" t="s">
        <v>63</v>
      </c>
      <c r="E69" s="2">
        <v>40446</v>
      </c>
      <c r="F69" t="s">
        <v>62</v>
      </c>
      <c r="G69" t="s">
        <v>0</v>
      </c>
    </row>
    <row r="70" spans="1:7" x14ac:dyDescent="0.2">
      <c r="A70" s="5">
        <v>81</v>
      </c>
      <c r="B70">
        <v>180076</v>
      </c>
      <c r="C70" t="s">
        <v>121</v>
      </c>
      <c r="D70" t="s">
        <v>122</v>
      </c>
      <c r="E70" s="2">
        <v>41697</v>
      </c>
      <c r="F70" t="s">
        <v>123</v>
      </c>
      <c r="G70" t="s">
        <v>0</v>
      </c>
    </row>
    <row r="71" spans="1:7" x14ac:dyDescent="0.2">
      <c r="A71" s="5">
        <v>82</v>
      </c>
      <c r="B71">
        <v>160482</v>
      </c>
      <c r="C71" t="s">
        <v>99</v>
      </c>
      <c r="D71" t="s">
        <v>100</v>
      </c>
      <c r="E71" s="2">
        <v>42092</v>
      </c>
      <c r="F71" t="s">
        <v>72</v>
      </c>
      <c r="G71" t="s">
        <v>0</v>
      </c>
    </row>
    <row r="72" spans="1:7" x14ac:dyDescent="0.2">
      <c r="A72" s="5">
        <v>83</v>
      </c>
      <c r="B72">
        <v>172766</v>
      </c>
      <c r="C72" t="s">
        <v>124</v>
      </c>
      <c r="D72" t="s">
        <v>125</v>
      </c>
      <c r="E72" s="2">
        <v>42331</v>
      </c>
      <c r="F72" t="s">
        <v>72</v>
      </c>
      <c r="G72" t="s">
        <v>0</v>
      </c>
    </row>
    <row r="73" spans="1:7" x14ac:dyDescent="0.2">
      <c r="A73" s="5">
        <v>84</v>
      </c>
      <c r="B73">
        <v>173657</v>
      </c>
      <c r="C73" t="s">
        <v>106</v>
      </c>
      <c r="D73" t="s">
        <v>107</v>
      </c>
      <c r="E73" s="2">
        <v>42233</v>
      </c>
      <c r="F73" t="s">
        <v>72</v>
      </c>
      <c r="G73" t="s">
        <v>0</v>
      </c>
    </row>
    <row r="74" spans="1:7" x14ac:dyDescent="0.2">
      <c r="A74" s="5">
        <v>85</v>
      </c>
      <c r="B74">
        <v>175986</v>
      </c>
      <c r="C74" t="s">
        <v>88</v>
      </c>
      <c r="D74" t="s">
        <v>89</v>
      </c>
      <c r="E74" s="2">
        <v>42543</v>
      </c>
      <c r="F74" t="s">
        <v>72</v>
      </c>
      <c r="G74" t="s">
        <v>0</v>
      </c>
    </row>
    <row r="75" spans="1:7" x14ac:dyDescent="0.2">
      <c r="A75" s="5">
        <v>86</v>
      </c>
      <c r="B75">
        <v>182451</v>
      </c>
      <c r="C75" t="s">
        <v>113</v>
      </c>
      <c r="D75" t="s">
        <v>114</v>
      </c>
      <c r="E75" s="2">
        <v>41155</v>
      </c>
      <c r="F75" t="s">
        <v>72</v>
      </c>
      <c r="G75" t="s">
        <v>0</v>
      </c>
    </row>
    <row r="76" spans="1:7" x14ac:dyDescent="0.2">
      <c r="A76" s="5">
        <v>87</v>
      </c>
      <c r="B76">
        <v>183903</v>
      </c>
      <c r="C76" t="s">
        <v>115</v>
      </c>
      <c r="D76" t="s">
        <v>116</v>
      </c>
      <c r="E76" s="2">
        <v>42798</v>
      </c>
      <c r="F76" t="s">
        <v>72</v>
      </c>
      <c r="G76" t="s">
        <v>0</v>
      </c>
    </row>
    <row r="77" spans="1:7" x14ac:dyDescent="0.2">
      <c r="A77" s="5">
        <v>88</v>
      </c>
      <c r="B77">
        <v>184780</v>
      </c>
      <c r="C77" t="s">
        <v>117</v>
      </c>
      <c r="D77" t="s">
        <v>118</v>
      </c>
      <c r="E77" s="2">
        <v>42898</v>
      </c>
      <c r="F77" t="s">
        <v>72</v>
      </c>
      <c r="G77" t="s">
        <v>0</v>
      </c>
    </row>
    <row r="78" spans="1:7" x14ac:dyDescent="0.2">
      <c r="A78" s="5">
        <v>89</v>
      </c>
      <c r="B78">
        <v>176036</v>
      </c>
      <c r="C78" t="s">
        <v>119</v>
      </c>
      <c r="D78" t="s">
        <v>120</v>
      </c>
      <c r="E78" s="2">
        <v>42409</v>
      </c>
      <c r="F78" t="s">
        <v>72</v>
      </c>
      <c r="G78" t="s">
        <v>0</v>
      </c>
    </row>
    <row r="79" spans="1:7" x14ac:dyDescent="0.2">
      <c r="A79" s="5">
        <v>90</v>
      </c>
      <c r="B79">
        <v>181145</v>
      </c>
      <c r="C79" t="s">
        <v>70</v>
      </c>
      <c r="D79" t="s">
        <v>71</v>
      </c>
      <c r="E79" s="2">
        <v>42698</v>
      </c>
      <c r="F79" t="s">
        <v>72</v>
      </c>
      <c r="G79" t="s">
        <v>0</v>
      </c>
    </row>
    <row r="80" spans="1:7" x14ac:dyDescent="0.2">
      <c r="A80" s="5">
        <v>91</v>
      </c>
      <c r="B80">
        <v>183555</v>
      </c>
      <c r="C80" t="s">
        <v>104</v>
      </c>
      <c r="D80" t="s">
        <v>105</v>
      </c>
      <c r="E80" s="2">
        <v>42698</v>
      </c>
      <c r="F80" t="s">
        <v>72</v>
      </c>
      <c r="G80" t="s">
        <v>0</v>
      </c>
    </row>
    <row r="81" spans="1:7" x14ac:dyDescent="0.2">
      <c r="A81" s="5">
        <v>92</v>
      </c>
      <c r="B81">
        <v>184020</v>
      </c>
      <c r="C81" t="s">
        <v>64</v>
      </c>
      <c r="D81" t="s">
        <v>65</v>
      </c>
      <c r="E81" s="2">
        <v>42812</v>
      </c>
      <c r="F81" t="s">
        <v>66</v>
      </c>
      <c r="G81" t="s">
        <v>0</v>
      </c>
    </row>
    <row r="82" spans="1:7" x14ac:dyDescent="0.2">
      <c r="A82" s="5">
        <v>93</v>
      </c>
      <c r="B82">
        <v>184527</v>
      </c>
      <c r="C82" t="s">
        <v>126</v>
      </c>
      <c r="D82" t="s">
        <v>127</v>
      </c>
      <c r="E82" s="2">
        <v>42880</v>
      </c>
      <c r="F82" t="s">
        <v>72</v>
      </c>
      <c r="G82" t="s">
        <v>0</v>
      </c>
    </row>
    <row r="83" spans="1:7" x14ac:dyDescent="0.2">
      <c r="A83" s="5">
        <v>94</v>
      </c>
      <c r="B83">
        <v>183660</v>
      </c>
      <c r="C83" t="s">
        <v>131</v>
      </c>
      <c r="D83" t="s">
        <v>132</v>
      </c>
      <c r="E83" s="2">
        <v>41788</v>
      </c>
      <c r="F83" t="s">
        <v>103</v>
      </c>
      <c r="G83" t="s">
        <v>0</v>
      </c>
    </row>
    <row r="84" spans="1:7" x14ac:dyDescent="0.2">
      <c r="A84" s="5">
        <v>95</v>
      </c>
      <c r="B84">
        <v>183032</v>
      </c>
      <c r="C84" t="s">
        <v>111</v>
      </c>
      <c r="D84" t="s">
        <v>112</v>
      </c>
      <c r="E84" s="2">
        <v>42752</v>
      </c>
      <c r="F84" t="s">
        <v>103</v>
      </c>
      <c r="G84" t="s">
        <v>0</v>
      </c>
    </row>
    <row r="85" spans="1:7" x14ac:dyDescent="0.2">
      <c r="A85" s="5">
        <v>96</v>
      </c>
      <c r="B85">
        <v>181552</v>
      </c>
      <c r="C85" t="s">
        <v>101</v>
      </c>
      <c r="D85" t="s">
        <v>102</v>
      </c>
      <c r="E85" s="2">
        <v>42722</v>
      </c>
      <c r="F85" t="s">
        <v>103</v>
      </c>
      <c r="G85" t="s">
        <v>0</v>
      </c>
    </row>
    <row r="86" spans="1:7" x14ac:dyDescent="0.2">
      <c r="A86" s="5">
        <v>97</v>
      </c>
      <c r="B86">
        <v>183199</v>
      </c>
      <c r="C86" t="s">
        <v>60</v>
      </c>
      <c r="D86" t="s">
        <v>61</v>
      </c>
      <c r="E86" s="2">
        <v>42249</v>
      </c>
      <c r="F86" t="s">
        <v>62</v>
      </c>
      <c r="G86" t="s">
        <v>0</v>
      </c>
    </row>
    <row r="87" spans="1:7" x14ac:dyDescent="0.2">
      <c r="A87" s="5">
        <v>98</v>
      </c>
      <c r="B87">
        <v>180599</v>
      </c>
      <c r="C87" t="s">
        <v>108</v>
      </c>
      <c r="D87" t="s">
        <v>109</v>
      </c>
      <c r="E87" s="2">
        <v>41908</v>
      </c>
      <c r="F87" t="s">
        <v>110</v>
      </c>
      <c r="G87" t="s">
        <v>0</v>
      </c>
    </row>
    <row r="88" spans="1:7" x14ac:dyDescent="0.2">
      <c r="A88" s="5">
        <v>99</v>
      </c>
      <c r="B88">
        <v>176443</v>
      </c>
      <c r="C88" t="s">
        <v>93</v>
      </c>
      <c r="D88" t="s">
        <v>96</v>
      </c>
      <c r="E88" s="2">
        <v>42035</v>
      </c>
      <c r="F88" t="s">
        <v>95</v>
      </c>
      <c r="G88" t="s">
        <v>0</v>
      </c>
    </row>
    <row r="89" spans="1:7" x14ac:dyDescent="0.2">
      <c r="A89" s="5">
        <v>100</v>
      </c>
      <c r="B89">
        <v>184616</v>
      </c>
      <c r="C89" t="s">
        <v>97</v>
      </c>
      <c r="D89" t="s">
        <v>98</v>
      </c>
      <c r="E89" s="2">
        <v>41662</v>
      </c>
      <c r="F89" t="s">
        <v>95</v>
      </c>
      <c r="G89" t="s">
        <v>0</v>
      </c>
    </row>
    <row r="90" spans="1:7" x14ac:dyDescent="0.2">
      <c r="A90" s="5">
        <v>101</v>
      </c>
      <c r="B90">
        <v>180734</v>
      </c>
      <c r="C90" t="s">
        <v>67</v>
      </c>
      <c r="D90" t="s">
        <v>68</v>
      </c>
      <c r="E90" s="2">
        <v>42238</v>
      </c>
      <c r="F90" t="s">
        <v>69</v>
      </c>
      <c r="G90" t="s">
        <v>0</v>
      </c>
    </row>
    <row r="91" spans="1:7" x14ac:dyDescent="0.2">
      <c r="A91" s="5">
        <v>102</v>
      </c>
      <c r="B91">
        <v>176621</v>
      </c>
      <c r="C91" t="s">
        <v>76</v>
      </c>
      <c r="D91" t="s">
        <v>77</v>
      </c>
      <c r="E91" s="2">
        <v>41932</v>
      </c>
      <c r="F91" t="s">
        <v>78</v>
      </c>
      <c r="G91" t="s">
        <v>0</v>
      </c>
    </row>
    <row r="92" spans="1:7" x14ac:dyDescent="0.2">
      <c r="A92" s="5">
        <v>103</v>
      </c>
      <c r="B92">
        <v>184225</v>
      </c>
      <c r="C92" t="s">
        <v>144</v>
      </c>
      <c r="D92" t="s">
        <v>145</v>
      </c>
      <c r="E92" s="2">
        <v>42932</v>
      </c>
      <c r="F92" t="s">
        <v>143</v>
      </c>
      <c r="G92" t="s">
        <v>1</v>
      </c>
    </row>
    <row r="93" spans="1:7" x14ac:dyDescent="0.2">
      <c r="A93" s="5">
        <v>104</v>
      </c>
      <c r="B93">
        <v>171212</v>
      </c>
      <c r="C93" t="s">
        <v>149</v>
      </c>
      <c r="D93" t="s">
        <v>150</v>
      </c>
      <c r="E93" s="2">
        <v>40549</v>
      </c>
      <c r="F93" t="s">
        <v>143</v>
      </c>
      <c r="G93" t="s">
        <v>1</v>
      </c>
    </row>
    <row r="94" spans="1:7" x14ac:dyDescent="0.2">
      <c r="A94" s="5">
        <v>105</v>
      </c>
      <c r="B94">
        <v>174068</v>
      </c>
      <c r="C94" t="s">
        <v>141</v>
      </c>
      <c r="D94" t="s">
        <v>142</v>
      </c>
      <c r="E94" s="2">
        <v>41883</v>
      </c>
      <c r="F94" t="s">
        <v>143</v>
      </c>
      <c r="G94" t="s">
        <v>1</v>
      </c>
    </row>
    <row r="95" spans="1:7" x14ac:dyDescent="0.2">
      <c r="A95" s="5">
        <v>106</v>
      </c>
      <c r="B95">
        <v>184179</v>
      </c>
      <c r="C95" t="s">
        <v>138</v>
      </c>
      <c r="D95" t="s">
        <v>139</v>
      </c>
      <c r="E95" s="2">
        <v>42744</v>
      </c>
      <c r="F95" t="s">
        <v>140</v>
      </c>
      <c r="G95" t="s">
        <v>1</v>
      </c>
    </row>
    <row r="96" spans="1:7" x14ac:dyDescent="0.2">
      <c r="A96" s="5">
        <v>107</v>
      </c>
      <c r="B96">
        <v>164704</v>
      </c>
      <c r="C96" t="s">
        <v>136</v>
      </c>
      <c r="D96" t="s">
        <v>137</v>
      </c>
      <c r="E96" s="2">
        <v>42146</v>
      </c>
      <c r="F96" t="s">
        <v>130</v>
      </c>
      <c r="G96" t="s">
        <v>1</v>
      </c>
    </row>
    <row r="97" spans="1:7" x14ac:dyDescent="0.2">
      <c r="A97" s="5">
        <v>108</v>
      </c>
      <c r="B97">
        <v>182710</v>
      </c>
      <c r="C97" t="s">
        <v>133</v>
      </c>
      <c r="D97" t="s">
        <v>134</v>
      </c>
      <c r="E97" s="2">
        <v>42403</v>
      </c>
      <c r="F97" t="s">
        <v>135</v>
      </c>
      <c r="G97" t="s">
        <v>1</v>
      </c>
    </row>
    <row r="98" spans="1:7" x14ac:dyDescent="0.2">
      <c r="A98" s="5">
        <v>109</v>
      </c>
      <c r="B98">
        <v>170844</v>
      </c>
      <c r="C98" t="s">
        <v>146</v>
      </c>
      <c r="D98" t="s">
        <v>147</v>
      </c>
      <c r="E98" s="2">
        <v>41188</v>
      </c>
      <c r="F98" t="s">
        <v>148</v>
      </c>
      <c r="G98" t="s">
        <v>1</v>
      </c>
    </row>
    <row r="99" spans="1:7" x14ac:dyDescent="0.2">
      <c r="A99" s="5">
        <v>110</v>
      </c>
      <c r="B99">
        <v>183210</v>
      </c>
      <c r="C99" t="s">
        <v>173</v>
      </c>
      <c r="D99" t="s">
        <v>174</v>
      </c>
      <c r="E99" s="2">
        <v>42795</v>
      </c>
      <c r="F99" t="s">
        <v>143</v>
      </c>
      <c r="G99" t="s">
        <v>2</v>
      </c>
    </row>
    <row r="100" spans="1:7" x14ac:dyDescent="0.2">
      <c r="A100" s="5">
        <v>111</v>
      </c>
      <c r="B100">
        <v>176990</v>
      </c>
      <c r="C100" t="s">
        <v>151</v>
      </c>
      <c r="D100" t="s">
        <v>152</v>
      </c>
      <c r="E100" s="2">
        <v>42293</v>
      </c>
      <c r="F100" t="s">
        <v>143</v>
      </c>
      <c r="G100" t="s">
        <v>2</v>
      </c>
    </row>
    <row r="101" spans="1:7" x14ac:dyDescent="0.2">
      <c r="A101" s="5">
        <v>112</v>
      </c>
      <c r="B101">
        <v>184160</v>
      </c>
      <c r="C101" t="s">
        <v>171</v>
      </c>
      <c r="D101" t="s">
        <v>127</v>
      </c>
      <c r="E101" s="2">
        <v>41636</v>
      </c>
      <c r="F101" t="s">
        <v>172</v>
      </c>
      <c r="G101" t="s">
        <v>2</v>
      </c>
    </row>
    <row r="102" spans="1:7" x14ac:dyDescent="0.2">
      <c r="A102" s="5">
        <v>113</v>
      </c>
      <c r="B102">
        <v>175315</v>
      </c>
      <c r="C102" t="s">
        <v>165</v>
      </c>
      <c r="D102" t="s">
        <v>166</v>
      </c>
      <c r="E102" s="2">
        <v>42459</v>
      </c>
      <c r="F102" t="s">
        <v>167</v>
      </c>
      <c r="G102" t="s">
        <v>2</v>
      </c>
    </row>
    <row r="103" spans="1:7" x14ac:dyDescent="0.2">
      <c r="A103" s="5">
        <v>114</v>
      </c>
      <c r="B103">
        <v>176370</v>
      </c>
      <c r="C103" t="s">
        <v>159</v>
      </c>
      <c r="D103" t="s">
        <v>160</v>
      </c>
      <c r="E103" s="2">
        <v>42644</v>
      </c>
      <c r="F103" t="s">
        <v>161</v>
      </c>
      <c r="G103" t="s">
        <v>2</v>
      </c>
    </row>
    <row r="104" spans="1:7" x14ac:dyDescent="0.2">
      <c r="A104" s="5">
        <v>115</v>
      </c>
      <c r="B104">
        <v>180580</v>
      </c>
      <c r="C104" t="s">
        <v>178</v>
      </c>
      <c r="D104" t="s">
        <v>179</v>
      </c>
      <c r="E104" s="2">
        <v>41612</v>
      </c>
      <c r="F104" t="s">
        <v>180</v>
      </c>
      <c r="G104" t="s">
        <v>2</v>
      </c>
    </row>
    <row r="105" spans="1:7" x14ac:dyDescent="0.2">
      <c r="A105" s="5">
        <v>116</v>
      </c>
      <c r="B105">
        <v>165409</v>
      </c>
      <c r="C105" t="s">
        <v>168</v>
      </c>
      <c r="D105" t="s">
        <v>169</v>
      </c>
      <c r="E105" s="2">
        <v>41646</v>
      </c>
      <c r="F105" t="s">
        <v>170</v>
      </c>
      <c r="G105" t="s">
        <v>2</v>
      </c>
    </row>
    <row r="106" spans="1:7" x14ac:dyDescent="0.2">
      <c r="A106" s="5">
        <v>117</v>
      </c>
      <c r="B106">
        <v>184314</v>
      </c>
      <c r="C106" t="s">
        <v>153</v>
      </c>
      <c r="D106" t="s">
        <v>154</v>
      </c>
      <c r="E106" s="2">
        <v>40739</v>
      </c>
      <c r="F106" t="s">
        <v>155</v>
      </c>
      <c r="G106" t="s">
        <v>2</v>
      </c>
    </row>
    <row r="107" spans="1:7" x14ac:dyDescent="0.2">
      <c r="A107" s="5">
        <v>118</v>
      </c>
      <c r="B107">
        <v>184101</v>
      </c>
      <c r="C107" t="s">
        <v>162</v>
      </c>
      <c r="D107" t="s">
        <v>163</v>
      </c>
      <c r="E107" s="2">
        <v>40516</v>
      </c>
      <c r="F107" t="s">
        <v>164</v>
      </c>
      <c r="G107" t="s">
        <v>2</v>
      </c>
    </row>
    <row r="108" spans="1:7" x14ac:dyDescent="0.2">
      <c r="A108" s="5">
        <v>119</v>
      </c>
      <c r="B108">
        <v>184349</v>
      </c>
      <c r="C108" t="s">
        <v>175</v>
      </c>
      <c r="D108" t="s">
        <v>176</v>
      </c>
      <c r="E108" s="2">
        <v>41367</v>
      </c>
      <c r="F108" t="s">
        <v>177</v>
      </c>
      <c r="G108" t="s">
        <v>2</v>
      </c>
    </row>
    <row r="109" spans="1:7" x14ac:dyDescent="0.2">
      <c r="A109" s="5">
        <v>120</v>
      </c>
      <c r="B109">
        <v>182257</v>
      </c>
      <c r="C109" t="s">
        <v>156</v>
      </c>
      <c r="D109" t="s">
        <v>157</v>
      </c>
      <c r="E109" s="2">
        <v>42563</v>
      </c>
      <c r="F109" t="s">
        <v>158</v>
      </c>
      <c r="G109" t="s">
        <v>2</v>
      </c>
    </row>
    <row r="110" spans="1:7" x14ac:dyDescent="0.2">
      <c r="A110" s="5">
        <v>121</v>
      </c>
      <c r="B110">
        <v>403602</v>
      </c>
      <c r="C110" t="s">
        <v>70</v>
      </c>
      <c r="D110" t="s">
        <v>279</v>
      </c>
      <c r="E110" s="2">
        <v>39864</v>
      </c>
      <c r="F110" t="s">
        <v>143</v>
      </c>
      <c r="G110" t="s">
        <v>7</v>
      </c>
    </row>
  </sheetData>
  <dataValidations count="1">
    <dataValidation type="list" allowBlank="1" showInputMessage="1" showErrorMessage="1" sqref="G3:G110" xr:uid="{00000000-0002-0000-0100-000000000000}">
      <formula1>GroepLijst</formula1>
    </dataValidation>
  </dataValidation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11"/>
  <sheetViews>
    <sheetView workbookViewId="0">
      <selection activeCell="F2" sqref="F2:F4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3">
        <v>48</v>
      </c>
      <c r="G2" t="s">
        <v>308</v>
      </c>
      <c r="H2" s="12" t="str">
        <f>$C$4</f>
        <v>2ᵉ graad Small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3">
        <v>75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5</v>
      </c>
      <c r="D4" s="13"/>
      <c r="E4" t="s">
        <v>310</v>
      </c>
      <c r="F4" s="3">
        <v>173</v>
      </c>
      <c r="G4" t="s">
        <v>311</v>
      </c>
      <c r="H4" s="12" t="str">
        <f>$C$5</f>
        <v>Vast Parcours 2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IFERROR(VLOOKUP(Table19[[#This Row],[SNR]],Deelnemers[#Data],2,0),"")</f>
        <v>150762</v>
      </c>
      <c r="B8">
        <f>IF(VLOOKUP(Table19[[#This Row],[SNR]],Deelnemers[#Data],8,0)&gt;0,"BM",IF(Table19[[#This Row],[Score]]="Disk",0,MATCH(Table19[[#This Row],[Sorteren]],Table19[Sorteren],0)-COUNTIF($B$7:$B7,"BM")))</f>
        <v>1</v>
      </c>
      <c r="D8" t="str">
        <f>IFERROR(VLOOKUP(Table19[[#This Row],[SNR]],Deelnemers[#Data],3,0),"")</f>
        <v>Mariën Balt</v>
      </c>
      <c r="E8" t="str">
        <f>IFERROR(VLOOKUP(Table19[[#This Row],[SNR]],Deelnemers[#Data],4,0),"")</f>
        <v>Scooby Doo</v>
      </c>
      <c r="F8" t="str">
        <f>IFERROR(VLOOKUP(Table19[[#This Row],[SNR]],Deelnemers[#Data],6,0),"")</f>
        <v>mix</v>
      </c>
      <c r="G8" s="8">
        <v>23</v>
      </c>
      <c r="H8" s="8">
        <v>44.34</v>
      </c>
      <c r="I8" s="8"/>
      <c r="J8" s="8"/>
      <c r="K8" s="8"/>
      <c r="L8" s="8"/>
      <c r="M8">
        <f>IF(OR(ISNUMBER(SEARCH("Jumping", $C$5)),ISNUMBER(SEARCH("Vast Parcours", $C$5)), ISNUMBER(SEARCH("NKT", $C$5))),IF(OR(Table19[[#This Row],[Disk]]&gt;0,Table19[[#This Row],[W]]&gt;=3,Table19[[#This Row],[Tijd]]&gt;$F$3),"Disk",IF(ISBLANK(Table19[[#This Row],[Tijd]]),"",Table19[[#This Row],[Fouten]]+MAX(0,Table19[[#This Row],[Tijd]]-$F$2))),"-")</f>
        <v>0</v>
      </c>
      <c r="N8">
        <f>IFERROR(PRODUCT($F$4,1/Table19[[#This Row],[Tijd]]),0)</f>
        <v>3.9016689219666216</v>
      </c>
      <c r="O8">
        <f>SUM(Table19[[#This Row],[W]],Table19[[#This Row],[A]],Table19[[#This Row],[F]])*5</f>
        <v>0</v>
      </c>
      <c r="P8" t="str">
        <f>TEXT(Table19[[#This Row],[Score]],"00,00")&amp;TEXT(Table19[[#This Row],[Fouten]],"00")&amp;TEXT(Table19[[#This Row],[Tijd]],"00,000")</f>
        <v>00,000044,340</v>
      </c>
      <c r="Q8" t="str">
        <f>IF(IFERROR(VLOOKUP(Table19[[#This Row],[SNR]],Deelnemers[#Data],7,0),0)&lt;&gt;$C$4,"Loopt niet in deze groep!",IF(COUNTIF(Table19[SNR],Table19[[#This Row],[SNR]])&gt;1,"Dubbel",""))</f>
        <v/>
      </c>
    </row>
    <row r="9" spans="1:17" x14ac:dyDescent="0.2">
      <c r="A9">
        <f>IFERROR(VLOOKUP(Table19[[#This Row],[SNR]],Deelnemers[#Data],2,0),"")</f>
        <v>142050</v>
      </c>
      <c r="B9">
        <f>IF(VLOOKUP(Table19[[#This Row],[SNR]],Deelnemers[#Data],8,0)&gt;0,"BM",IF(Table19[[#This Row],[Score]]="Disk",0,MATCH(Table19[[#This Row],[Sorteren]],Table19[Sorteren],0)-COUNTIF($B$7:$B8,"BM")))</f>
        <v>2</v>
      </c>
      <c r="D9" t="str">
        <f>IFERROR(VLOOKUP(Table19[[#This Row],[SNR]],Deelnemers[#Data],3,0),"")</f>
        <v>Marouschka Poppema</v>
      </c>
      <c r="E9" t="str">
        <f>IFERROR(VLOOKUP(Table19[[#This Row],[SNR]],Deelnemers[#Data],4,0),"")</f>
        <v>Hannah</v>
      </c>
      <c r="F9" t="str">
        <f>IFERROR(VLOOKUP(Table19[[#This Row],[SNR]],Deelnemers[#Data],6,0),"")</f>
        <v>Shetland Sheepdog</v>
      </c>
      <c r="G9" s="8">
        <v>22</v>
      </c>
      <c r="H9" s="8">
        <v>60.28</v>
      </c>
      <c r="I9" s="8">
        <v>2</v>
      </c>
      <c r="J9" s="8"/>
      <c r="K9" s="8"/>
      <c r="L9" s="8"/>
      <c r="M9">
        <f>IF(OR(ISNUMBER(SEARCH("Jumping", $C$5)),ISNUMBER(SEARCH("Vast Parcours", $C$5)), ISNUMBER(SEARCH("NKT", $C$5))),IF(OR(Table19[[#This Row],[Disk]]&gt;0,Table19[[#This Row],[W]]&gt;=3,Table19[[#This Row],[Tijd]]&gt;$F$3),"Disk",IF(ISBLANK(Table19[[#This Row],[Tijd]]),"",Table19[[#This Row],[Fouten]]+MAX(0,Table19[[#This Row],[Tijd]]-$F$2))),"-")</f>
        <v>22.28</v>
      </c>
      <c r="N9">
        <f>IFERROR(PRODUCT($F$4,1/Table19[[#This Row],[Tijd]]),0)</f>
        <v>2.8699402786994028</v>
      </c>
      <c r="O9">
        <f>SUM(Table19[[#This Row],[W]],Table19[[#This Row],[A]],Table19[[#This Row],[F]])*5</f>
        <v>10</v>
      </c>
      <c r="P9" t="str">
        <f>TEXT(Table19[[#This Row],[Score]],"00,00")&amp;TEXT(Table19[[#This Row],[Fouten]],"00")&amp;TEXT(Table19[[#This Row],[Tijd]],"00,000")</f>
        <v>22,281060,280</v>
      </c>
      <c r="Q9" t="str">
        <f>IF(IFERROR(VLOOKUP(Table19[[#This Row],[SNR]],Deelnemers[#Data],7,0),0)&lt;&gt;$C$4,"Loopt niet in deze groep!",IF(COUNTIF(Table19[SNR],Table19[[#This Row],[SNR]])&gt;1,"Dubbel",""))</f>
        <v/>
      </c>
    </row>
    <row r="10" spans="1:17" x14ac:dyDescent="0.2">
      <c r="A10">
        <f>IFERROR(VLOOKUP(Table19[[#This Row],[SNR]],Deelnemers[#Data],2,0),"")</f>
        <v>165034</v>
      </c>
      <c r="B10">
        <f>IF(VLOOKUP(Table19[[#This Row],[SNR]],Deelnemers[#Data],8,0)&gt;0,"BM",IF(Table19[[#This Row],[Score]]="Disk",0,MATCH(Table19[[#This Row],[Sorteren]],Table19[Sorteren],0)-COUNTIF($B$7:$B9,"BM")))</f>
        <v>3</v>
      </c>
      <c r="D10" t="str">
        <f>IFERROR(VLOOKUP(Table19[[#This Row],[SNR]],Deelnemers[#Data],3,0),"")</f>
        <v>Marion Homburg</v>
      </c>
      <c r="E10" t="str">
        <f>IFERROR(VLOOKUP(Table19[[#This Row],[SNR]],Deelnemers[#Data],4,0),"")</f>
        <v>Maxl</v>
      </c>
      <c r="F10" t="str">
        <f>IFERROR(VLOOKUP(Table19[[#This Row],[SNR]],Deelnemers[#Data],6,0),"")</f>
        <v>Yorkshire Terriër</v>
      </c>
      <c r="G10">
        <v>21</v>
      </c>
      <c r="H10">
        <v>61.1</v>
      </c>
      <c r="I10">
        <v>1</v>
      </c>
      <c r="K10">
        <v>1</v>
      </c>
      <c r="M10">
        <f>IF(OR(ISNUMBER(SEARCH("Jumping", $C$5)),ISNUMBER(SEARCH("Vast Parcours", $C$5)), ISNUMBER(SEARCH("NKT", $C$5))),IF(OR(Table19[[#This Row],[Disk]]&gt;0,Table19[[#This Row],[W]]&gt;=3,Table19[[#This Row],[Tijd]]&gt;$F$3),"Disk",IF(ISBLANK(Table19[[#This Row],[Tijd]]),"",Table19[[#This Row],[Fouten]]+MAX(0,Table19[[#This Row],[Tijd]]-$F$2))),"-")</f>
        <v>23.1</v>
      </c>
      <c r="N10">
        <f>IFERROR(PRODUCT($F$4,1/Table19[[#This Row],[Tijd]]),0)</f>
        <v>2.8314238952536828</v>
      </c>
      <c r="O10">
        <f>SUM(Table19[[#This Row],[W]],Table19[[#This Row],[A]],Table19[[#This Row],[F]])*5</f>
        <v>10</v>
      </c>
      <c r="P10" t="str">
        <f>TEXT(Table19[[#This Row],[Score]],"00,00")&amp;TEXT(Table19[[#This Row],[Fouten]],"00")&amp;TEXT(Table19[[#This Row],[Tijd]],"00,000")</f>
        <v>23,101061,100</v>
      </c>
      <c r="Q10" t="str">
        <f>IF(IFERROR(VLOOKUP(Table19[[#This Row],[SNR]],Deelnemers[#Data],7,0),0)&lt;&gt;$C$4,"Loopt niet in deze groep!",IF(COUNTIF(Table19[SNR],Table19[[#This Row],[SNR]])&gt;1,"Dubbel",""))</f>
        <v/>
      </c>
    </row>
    <row r="11" spans="1:17" x14ac:dyDescent="0.2">
      <c r="A11">
        <f>IFERROR(VLOOKUP(Table19[[#This Row],[SNR]],Deelnemers[#Data],2,0),"")</f>
        <v>143294</v>
      </c>
      <c r="B11">
        <f>IF(VLOOKUP(Table19[[#This Row],[SNR]],Deelnemers[#Data],8,0)&gt;0,"BM",IF(Table19[[#This Row],[Score]]="Disk",0,MATCH(Table19[[#This Row],[Sorteren]],Table19[Sorteren],0)-COUNTIF($B$7:$B10,"BM")))</f>
        <v>0</v>
      </c>
      <c r="D11" t="str">
        <f>IFERROR(VLOOKUP(Table19[[#This Row],[SNR]],Deelnemers[#Data],3,0),"")</f>
        <v>Jeanet Hooijer</v>
      </c>
      <c r="E11" t="str">
        <f>IFERROR(VLOOKUP(Table19[[#This Row],[SNR]],Deelnemers[#Data],4,0),"")</f>
        <v>Dribbel</v>
      </c>
      <c r="F11" t="str">
        <f>IFERROR(VLOOKUP(Table19[[#This Row],[SNR]],Deelnemers[#Data],6,0),"")</f>
        <v>boomer</v>
      </c>
      <c r="G11" s="8">
        <v>24</v>
      </c>
      <c r="H11" s="8"/>
      <c r="I11" s="8"/>
      <c r="J11" s="8"/>
      <c r="K11" s="8"/>
      <c r="L11" s="8" t="s">
        <v>326</v>
      </c>
      <c r="M11" t="str">
        <f>IF(OR(ISNUMBER(SEARCH("Jumping", $C$5)),ISNUMBER(SEARCH("Vast Parcours", $C$5)), ISNUMBER(SEARCH("NKT", $C$5))),IF(OR(Table19[[#This Row],[Disk]]&gt;0,Table19[[#This Row],[W]]&gt;=3,Table19[[#This Row],[Tijd]]&gt;$F$3),"Disk",IF(ISBLANK(Table19[[#This Row],[Tijd]]),"",Table19[[#This Row],[Fouten]]+MAX(0,Table19[[#This Row],[Tijd]]-$F$2))),"-")</f>
        <v>Disk</v>
      </c>
      <c r="N11">
        <f>IFERROR(PRODUCT($F$4,1/Table19[[#This Row],[Tijd]]),0)</f>
        <v>0</v>
      </c>
      <c r="O11">
        <f>SUM(Table19[[#This Row],[W]],Table19[[#This Row],[A]],Table19[[#This Row],[F]])*5</f>
        <v>0</v>
      </c>
      <c r="P11" t="str">
        <f>TEXT(Table19[[#This Row],[Score]],"00,00")&amp;TEXT(Table19[[#This Row],[Fouten]],"00")&amp;TEXT(Table19[[#This Row],[Tijd]],"00,000")</f>
        <v>Disk0000,000</v>
      </c>
      <c r="Q11" t="str">
        <f>IF(IFERROR(VLOOKUP(Table19[[#This Row],[SNR]],Deelnemers[#Data],7,0),0)&lt;&gt;$C$4,"Loopt niet in deze groep!",IF(COUNTIF(Table19[SNR],Table19[[#This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2:F4">
    <cfRule type="containsBlanks" dxfId="77" priority="2">
      <formula>LEN(TRIM(F2))=0</formula>
    </cfRule>
  </conditionalFormatting>
  <conditionalFormatting sqref="F1">
    <cfRule type="containsBlanks" dxfId="76" priority="1">
      <formula>LEN(TRIM(F1))=0</formula>
    </cfRule>
  </conditionalFormatting>
  <dataValidations count="2">
    <dataValidation type="list" allowBlank="1" showInputMessage="1" showErrorMessage="1" sqref="C4" xr:uid="{00000000-0002-0000-1300-000000000000}">
      <formula1>GroepLijst</formula1>
    </dataValidation>
    <dataValidation type="list" allowBlank="1" showInputMessage="1" showErrorMessage="1" sqref="F1" xr:uid="{A19F4765-A3AF-CB47-A23F-A2A1389EB6B7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3"/>
  <sheetViews>
    <sheetView workbookViewId="0">
      <selection activeCell="F5" sqref="F5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3">
        <v>35</v>
      </c>
      <c r="G2" t="s">
        <v>308</v>
      </c>
      <c r="H2" s="12" t="str">
        <f>$C$4</f>
        <v>3ᵉ graad Large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3">
        <v>60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6</v>
      </c>
      <c r="D4" s="13"/>
      <c r="E4" t="s">
        <v>310</v>
      </c>
      <c r="F4" s="3">
        <v>139</v>
      </c>
      <c r="G4" t="s">
        <v>311</v>
      </c>
      <c r="H4" s="12" t="str">
        <f>$C$5</f>
        <v>Jumping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305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IFERROR(VLOOKUP(Table20[[#This Row],[SNR]],Deelnemers[#Data],2,0),"")</f>
        <v>400949</v>
      </c>
      <c r="B8">
        <f>IF(VLOOKUP(Table20[[#This Row],[SNR]],Deelnemers[#Data],8,0)&gt;0,"BM",IF(Table20[[#This Row],[Score]]="Disk",0,MATCH(Table20[[#This Row],[Sorteren]],Table20[Sorteren],0)-COUNTIF($B$7:$B7,"BM")))</f>
        <v>1</v>
      </c>
      <c r="D8" t="str">
        <f>IFERROR(VLOOKUP(Table20[[#This Row],[SNR]],Deelnemers[#Data],3,0),"")</f>
        <v>Thea van Niekerk</v>
      </c>
      <c r="E8" t="str">
        <f>IFERROR(VLOOKUP(Table20[[#This Row],[SNR]],Deelnemers[#Data],4,0),"")</f>
        <v>Ace</v>
      </c>
      <c r="F8" t="str">
        <f>IFERROR(VLOOKUP(Table20[[#This Row],[SNR]],Deelnemers[#Data],6,0),"")</f>
        <v>Belgische Herdershond, Groenendaeler</v>
      </c>
      <c r="G8" s="9">
        <v>6</v>
      </c>
      <c r="H8" s="9">
        <v>35.700000000000003</v>
      </c>
      <c r="I8" s="9"/>
      <c r="J8" s="9"/>
      <c r="K8" s="9"/>
      <c r="L8" s="9"/>
      <c r="M8">
        <f>IF(OR(ISNUMBER(SEARCH("Jumping", $C$5)),ISNUMBER(SEARCH("Vast Parcours", $C$5)), ISNUMBER(SEARCH("NKT", $C$5))),IF(OR(Table20[[#This Row],[Disk]]&gt;0,Table20[[#This Row],[W]]&gt;=3,Table20[[#This Row],[Tijd]]&gt;$F$3),"Disk",IF(ISBLANK(Table20[[#This Row],[Tijd]]),"",Table20[[#This Row],[Fouten]]+MAX(0,Table20[[#This Row],[Tijd]]-$F$2))),"-")</f>
        <v>0.70000000000000284</v>
      </c>
      <c r="N8">
        <f>IFERROR(PRODUCT($F$4,1/Table20[[#This Row],[Tijd]]),0)</f>
        <v>3.8935574229691872</v>
      </c>
      <c r="O8">
        <f>SUM(Table20[[#This Row],[W]],Table20[[#This Row],[A]],Table20[[#This Row],[F]])*5</f>
        <v>0</v>
      </c>
      <c r="P8" t="str">
        <f>TEXT(Table20[[#This Row],[Score]],"00,00")&amp;TEXT(Table20[[#This Row],[Fouten]],"00")&amp;TEXT(Table20[[#This Row],[Tijd]],"00,000")</f>
        <v>00,700035,700</v>
      </c>
      <c r="Q8" t="str">
        <f>IF(IFERROR(VLOOKUP(Table20[[#This Row],[SNR]],Deelnemers[#Data],7,0),0)&lt;&gt;$C$4,"Loopt niet in deze groep!",IF(COUNTIF(Table20[SNR],Table20[[#This Row],[SNR]])&gt;1,"Dubbel",""))</f>
        <v/>
      </c>
    </row>
    <row r="9" spans="1:17" x14ac:dyDescent="0.2">
      <c r="A9">
        <f>IFERROR(VLOOKUP(Table20[[#This Row],[SNR]],Deelnemers[#Data],2,0),"")</f>
        <v>421463</v>
      </c>
      <c r="B9">
        <f>IF(VLOOKUP(Table20[[#This Row],[SNR]],Deelnemers[#Data],8,0)&gt;0,"BM",IF(Table20[[#This Row],[Score]]="Disk",0,MATCH(Table20[[#This Row],[Sorteren]],Table20[Sorteren],0)-COUNTIF($B$7:$B8,"BM")))</f>
        <v>2</v>
      </c>
      <c r="D9" t="str">
        <f>IFERROR(VLOOKUP(Table20[[#This Row],[SNR]],Deelnemers[#Data],3,0),"")</f>
        <v>Marieke Timmer</v>
      </c>
      <c r="E9" t="str">
        <f>IFERROR(VLOOKUP(Table20[[#This Row],[SNR]],Deelnemers[#Data],4,0),"")</f>
        <v>Twiggy</v>
      </c>
      <c r="F9" t="str">
        <f>IFERROR(VLOOKUP(Table20[[#This Row],[SNR]],Deelnemers[#Data],6,0),"")</f>
        <v>Border Collie</v>
      </c>
      <c r="G9" s="9">
        <v>4</v>
      </c>
      <c r="H9" s="9">
        <v>30.68</v>
      </c>
      <c r="I9" s="9"/>
      <c r="J9" s="9"/>
      <c r="K9" s="9">
        <v>3</v>
      </c>
      <c r="L9" s="9"/>
      <c r="M9">
        <f>IF(OR(ISNUMBER(SEARCH("Jumping", $C$5)),ISNUMBER(SEARCH("Vast Parcours", $C$5)), ISNUMBER(SEARCH("NKT", $C$5))),IF(OR(Table20[[#This Row],[Disk]]&gt;0,Table20[[#This Row],[W]]&gt;=3,Table20[[#This Row],[Tijd]]&gt;$F$3),"Disk",IF(ISBLANK(Table20[[#This Row],[Tijd]]),"",Table20[[#This Row],[Fouten]]+MAX(0,Table20[[#This Row],[Tijd]]-$F$2))),"-")</f>
        <v>15</v>
      </c>
      <c r="N9">
        <f>IFERROR(PRODUCT($F$4,1/Table20[[#This Row],[Tijd]]),0)</f>
        <v>4.5306388526727508</v>
      </c>
      <c r="O9">
        <f>SUM(Table20[[#This Row],[W]],Table20[[#This Row],[A]],Table20[[#This Row],[F]])*5</f>
        <v>15</v>
      </c>
      <c r="P9" t="str">
        <f>TEXT(Table20[[#This Row],[Score]],"00,00")&amp;TEXT(Table20[[#This Row],[Fouten]],"00")&amp;TEXT(Table20[[#This Row],[Tijd]],"00,000")</f>
        <v>15,001530,680</v>
      </c>
      <c r="Q9" t="str">
        <f>IF(IFERROR(VLOOKUP(Table20[[#This Row],[SNR]],Deelnemers[#Data],7,0),0)&lt;&gt;$C$4,"Loopt niet in deze groep!",IF(COUNTIF(Table20[SNR],Table20[[#This Row],[SNR]])&gt;1,"Dubbel",""))</f>
        <v/>
      </c>
    </row>
    <row r="10" spans="1:17" x14ac:dyDescent="0.2">
      <c r="A10">
        <f>IFERROR(VLOOKUP(Table20[[#This Row],[SNR]],Deelnemers[#Data],2,0),"")</f>
        <v>140201</v>
      </c>
      <c r="B10">
        <f>IF(VLOOKUP(Table20[[#This Row],[SNR]],Deelnemers[#Data],8,0)&gt;0,"BM",IF(Table20[[#This Row],[Score]]="Disk",0,MATCH(Table20[[#This Row],[Sorteren]],Table20[Sorteren],0)-COUNTIF($B$7:$B9,"BM")))</f>
        <v>0</v>
      </c>
      <c r="D10" t="str">
        <f>IFERROR(VLOOKUP(Table20[[#This Row],[SNR]],Deelnemers[#Data],3,0),"")</f>
        <v>Janne Lise de Boer</v>
      </c>
      <c r="E10" t="str">
        <f>IFERROR(VLOOKUP(Table20[[#This Row],[SNR]],Deelnemers[#Data],4,0),"")</f>
        <v>Jochie</v>
      </c>
      <c r="F10" t="str">
        <f>IFERROR(VLOOKUP(Table20[[#This Row],[SNR]],Deelnemers[#Data],6,0),"")</f>
        <v>Peruaanse Naakthond, Groot</v>
      </c>
      <c r="G10">
        <v>1</v>
      </c>
      <c r="L10" t="s">
        <v>326</v>
      </c>
      <c r="M10" t="str">
        <f>IF(OR(ISNUMBER(SEARCH("Jumping", $C$5)),ISNUMBER(SEARCH("Vast Parcours", $C$5)), ISNUMBER(SEARCH("NKT", $C$5))),IF(OR(Table20[[#This Row],[Disk]]&gt;0,Table20[[#This Row],[W]]&gt;=3,Table20[[#This Row],[Tijd]]&gt;$F$3),"Disk",IF(ISBLANK(Table20[[#This Row],[Tijd]]),"",Table20[[#This Row],[Fouten]]+MAX(0,Table20[[#This Row],[Tijd]]-$F$2))),"-")</f>
        <v>Disk</v>
      </c>
      <c r="N10">
        <f>IFERROR(PRODUCT($F$4,1/Table20[[#This Row],[Tijd]]),0)</f>
        <v>0</v>
      </c>
      <c r="O10">
        <f>SUM(Table20[[#This Row],[W]],Table20[[#This Row],[A]],Table20[[#This Row],[F]])*5</f>
        <v>0</v>
      </c>
      <c r="P10" t="str">
        <f>TEXT(Table20[[#This Row],[Score]],"00,00")&amp;TEXT(Table20[[#This Row],[Fouten]],"00")&amp;TEXT(Table20[[#This Row],[Tijd]],"00,000")</f>
        <v>Disk0000,000</v>
      </c>
      <c r="Q10" t="str">
        <f>IF(IFERROR(VLOOKUP(Table20[[#This Row],[SNR]],Deelnemers[#Data],7,0),0)&lt;&gt;$C$4,"Loopt niet in deze groep!",IF(COUNTIF(Table20[SNR],Table20[[#This Row],[SNR]])&gt;1,"Dubbel",""))</f>
        <v/>
      </c>
    </row>
    <row r="11" spans="1:17" x14ac:dyDescent="0.2">
      <c r="A11">
        <f>IFERROR(VLOOKUP(Table20[[#This Row],[SNR]],Deelnemers[#Data],2,0),"")</f>
        <v>146145</v>
      </c>
      <c r="B11">
        <f>IF(VLOOKUP(Table20[[#This Row],[SNR]],Deelnemers[#Data],8,0)&gt;0,"BM",IF(Table20[[#This Row],[Score]]="Disk",0,MATCH(Table20[[#This Row],[Sorteren]],Table20[Sorteren],0)-COUNTIF($B$7:$B10,"BM")))</f>
        <v>0</v>
      </c>
      <c r="D11" t="str">
        <f>IFERROR(VLOOKUP(Table20[[#This Row],[SNR]],Deelnemers[#Data],3,0),"")</f>
        <v>Marjolein van Sprang</v>
      </c>
      <c r="E11" t="str">
        <f>IFERROR(VLOOKUP(Table20[[#This Row],[SNR]],Deelnemers[#Data],4,0),"")</f>
        <v>Lola</v>
      </c>
      <c r="F11" t="str">
        <f>IFERROR(VLOOKUP(Table20[[#This Row],[SNR]],Deelnemers[#Data],6,0),"")</f>
        <v>kruising</v>
      </c>
      <c r="G11" s="9">
        <v>2</v>
      </c>
      <c r="H11" s="9"/>
      <c r="I11" s="9"/>
      <c r="J11" s="9"/>
      <c r="K11" s="9"/>
      <c r="L11" s="9" t="s">
        <v>326</v>
      </c>
      <c r="M11" t="str">
        <f>IF(OR(ISNUMBER(SEARCH("Jumping", $C$5)),ISNUMBER(SEARCH("Vast Parcours", $C$5)), ISNUMBER(SEARCH("NKT", $C$5))),IF(OR(Table20[[#This Row],[Disk]]&gt;0,Table20[[#This Row],[W]]&gt;=3,Table20[[#This Row],[Tijd]]&gt;$F$3),"Disk",IF(ISBLANK(Table20[[#This Row],[Tijd]]),"",Table20[[#This Row],[Fouten]]+MAX(0,Table20[[#This Row],[Tijd]]-$F$2))),"-")</f>
        <v>Disk</v>
      </c>
      <c r="N11">
        <f>IFERROR(PRODUCT($F$4,1/Table20[[#This Row],[Tijd]]),0)</f>
        <v>0</v>
      </c>
      <c r="O11">
        <f>SUM(Table20[[#This Row],[W]],Table20[[#This Row],[A]],Table20[[#This Row],[F]])*5</f>
        <v>0</v>
      </c>
      <c r="P11" t="str">
        <f>TEXT(Table20[[#This Row],[Score]],"00,00")&amp;TEXT(Table20[[#This Row],[Fouten]],"00")&amp;TEXT(Table20[[#This Row],[Tijd]],"00,000")</f>
        <v>Disk0000,000</v>
      </c>
      <c r="Q11" t="str">
        <f>IF(IFERROR(VLOOKUP(Table20[[#This Row],[SNR]],Deelnemers[#Data],7,0),0)&lt;&gt;$C$4,"Loopt niet in deze groep!",IF(COUNTIF(Table20[SNR],Table20[[#This Row],[SNR]])&gt;1,"Dubbel",""))</f>
        <v/>
      </c>
    </row>
    <row r="12" spans="1:17" x14ac:dyDescent="0.2">
      <c r="A12">
        <f>IFERROR(VLOOKUP(Table20[[#This Row],[SNR]],Deelnemers[#Data],2,0),"")</f>
        <v>155144</v>
      </c>
      <c r="B12">
        <f>IF(VLOOKUP(Table20[[#This Row],[SNR]],Deelnemers[#Data],8,0)&gt;0,"BM",IF(Table20[[#This Row],[Score]]="Disk",0,MATCH(Table20[[#This Row],[Sorteren]],Table20[Sorteren],0)-COUNTIF($B$7:$B11,"BM")))</f>
        <v>0</v>
      </c>
      <c r="D12" t="str">
        <f>IFERROR(VLOOKUP(Table20[[#This Row],[SNR]],Deelnemers[#Data],3,0),"")</f>
        <v>Geraldine Kort-Storch</v>
      </c>
      <c r="E12" t="str">
        <f>IFERROR(VLOOKUP(Table20[[#This Row],[SNR]],Deelnemers[#Data],4,0),"")</f>
        <v>Cuby</v>
      </c>
      <c r="F12" t="str">
        <f>IFERROR(VLOOKUP(Table20[[#This Row],[SNR]],Deelnemers[#Data],6,0),"")</f>
        <v>Border Collie</v>
      </c>
      <c r="G12" s="9">
        <v>3</v>
      </c>
      <c r="H12" s="9"/>
      <c r="I12" s="9"/>
      <c r="J12" s="9"/>
      <c r="K12" s="9"/>
      <c r="L12" s="9" t="s">
        <v>326</v>
      </c>
      <c r="M12" t="str">
        <f>IF(OR(ISNUMBER(SEARCH("Jumping", $C$5)),ISNUMBER(SEARCH("Vast Parcours", $C$5)), ISNUMBER(SEARCH("NKT", $C$5))),IF(OR(Table20[[#This Row],[Disk]]&gt;0,Table20[[#This Row],[W]]&gt;=3,Table20[[#This Row],[Tijd]]&gt;$F$3),"Disk",IF(ISBLANK(Table20[[#This Row],[Tijd]]),"",Table20[[#This Row],[Fouten]]+MAX(0,Table20[[#This Row],[Tijd]]-$F$2))),"-")</f>
        <v>Disk</v>
      </c>
      <c r="N12">
        <f>IFERROR(PRODUCT($F$4,1/Table20[[#This Row],[Tijd]]),0)</f>
        <v>0</v>
      </c>
      <c r="O12">
        <f>SUM(Table20[[#This Row],[W]],Table20[[#This Row],[A]],Table20[[#This Row],[F]])*5</f>
        <v>0</v>
      </c>
      <c r="P12" t="str">
        <f>TEXT(Table20[[#This Row],[Score]],"00,00")&amp;TEXT(Table20[[#This Row],[Fouten]],"00")&amp;TEXT(Table20[[#This Row],[Tijd]],"00,000")</f>
        <v>Disk0000,000</v>
      </c>
      <c r="Q12" t="str">
        <f>IF(IFERROR(VLOOKUP(Table20[[#This Row],[SNR]],Deelnemers[#Data],7,0),0)&lt;&gt;$C$4,"Loopt niet in deze groep!",IF(COUNTIF(Table20[SNR],Table20[[#This Row],[SNR]])&gt;1,"Dubbel",""))</f>
        <v/>
      </c>
    </row>
    <row r="13" spans="1:17" x14ac:dyDescent="0.2">
      <c r="A13">
        <f>IFERROR(VLOOKUP(Table20[[#This Row],[SNR]],Deelnemers[#Data],2,0),"")</f>
        <v>434035</v>
      </c>
      <c r="B13">
        <f>IF(VLOOKUP(Table20[[#This Row],[SNR]],Deelnemers[#Data],8,0)&gt;0,"BM",IF(Table20[[#This Row],[Score]]="Disk",0,MATCH(Table20[[#This Row],[Sorteren]],Table20[Sorteren],0)-COUNTIF($B$7:$B12,"BM")))</f>
        <v>0</v>
      </c>
      <c r="D13" t="str">
        <f>IFERROR(VLOOKUP(Table20[[#This Row],[SNR]],Deelnemers[#Data],3,0),"")</f>
        <v>Nicole Schreuder Peters</v>
      </c>
      <c r="E13" t="str">
        <f>IFERROR(VLOOKUP(Table20[[#This Row],[SNR]],Deelnemers[#Data],4,0),"")</f>
        <v>Tessa</v>
      </c>
      <c r="F13" t="str">
        <f>IFERROR(VLOOKUP(Table20[[#This Row],[SNR]],Deelnemers[#Data],6,0),"")</f>
        <v>Border Collie</v>
      </c>
      <c r="G13" s="9">
        <v>5</v>
      </c>
      <c r="H13" s="9"/>
      <c r="I13" s="9"/>
      <c r="J13" s="9"/>
      <c r="K13" s="9"/>
      <c r="L13" s="9" t="s">
        <v>326</v>
      </c>
      <c r="M13" t="str">
        <f>IF(OR(ISNUMBER(SEARCH("Jumping", $C$5)),ISNUMBER(SEARCH("Vast Parcours", $C$5)), ISNUMBER(SEARCH("NKT", $C$5))),IF(OR(Table20[[#This Row],[Disk]]&gt;0,Table20[[#This Row],[W]]&gt;=3,Table20[[#This Row],[Tijd]]&gt;$F$3),"Disk",IF(ISBLANK(Table20[[#This Row],[Tijd]]),"",Table20[[#This Row],[Fouten]]+MAX(0,Table20[[#This Row],[Tijd]]-$F$2))),"-")</f>
        <v>Disk</v>
      </c>
      <c r="N13">
        <f>IFERROR(PRODUCT($F$4,1/Table20[[#This Row],[Tijd]]),0)</f>
        <v>0</v>
      </c>
      <c r="O13">
        <f>SUM(Table20[[#This Row],[W]],Table20[[#This Row],[A]],Table20[[#This Row],[F]])*5</f>
        <v>0</v>
      </c>
      <c r="P13" t="str">
        <f>TEXT(Table20[[#This Row],[Score]],"00,00")&amp;TEXT(Table20[[#This Row],[Fouten]],"00")&amp;TEXT(Table20[[#This Row],[Tijd]],"00,000")</f>
        <v>Disk0000,000</v>
      </c>
      <c r="Q13" t="str">
        <f>IF(IFERROR(VLOOKUP(Table20[[#This Row],[SNR]],Deelnemers[#Data],7,0),0)&lt;&gt;$C$4,"Loopt niet in deze groep!",IF(COUNTIF(Table20[SNR],Table20[[#This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2:F4">
    <cfRule type="containsBlanks" dxfId="69" priority="2">
      <formula>LEN(TRIM(F2))=0</formula>
    </cfRule>
  </conditionalFormatting>
  <conditionalFormatting sqref="F1">
    <cfRule type="containsBlanks" dxfId="68" priority="1">
      <formula>LEN(TRIM(F1))=0</formula>
    </cfRule>
  </conditionalFormatting>
  <dataValidations count="2">
    <dataValidation type="list" allowBlank="1" showInputMessage="1" showErrorMessage="1" sqref="C4" xr:uid="{00000000-0002-0000-1400-000000000000}">
      <formula1>GroepLijst</formula1>
    </dataValidation>
    <dataValidation type="list" allowBlank="1" showInputMessage="1" showErrorMessage="1" sqref="F1" xr:uid="{4BD9BD03-88DA-B44B-8FC8-D50C77E4DBC0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Q13"/>
  <sheetViews>
    <sheetView workbookViewId="0">
      <selection activeCell="L14" sqref="L14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7">
        <v>46</v>
      </c>
      <c r="G2" t="s">
        <v>308</v>
      </c>
      <c r="H2" s="12" t="str">
        <f>$C$4</f>
        <v>3ᵉ graad Large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7">
        <v>70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6</v>
      </c>
      <c r="D4" s="13"/>
      <c r="E4" t="s">
        <v>310</v>
      </c>
      <c r="F4" s="7">
        <v>176</v>
      </c>
      <c r="G4" t="s">
        <v>311</v>
      </c>
      <c r="H4" s="12" t="str">
        <f>$C$5</f>
        <v>Vast Parcours 1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324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IFERROR(VLOOKUP(Table21[[#This Row],[SNR]],Deelnemers[#Data],2,0),"")</f>
        <v>434035</v>
      </c>
      <c r="B8">
        <f>IF(VLOOKUP(Table21[[#This Row],[SNR]],Deelnemers[#Data],8,0)&gt;0,"BM",IF(Table21[[#This Row],[Score]]="Disk",0,MATCH(Table21[[#This Row],[Sorteren]],Table21[Sorteren],0)-COUNTIF($B$7:$B7,"BM")))</f>
        <v>1</v>
      </c>
      <c r="D8" t="str">
        <f>IFERROR(VLOOKUP(Table21[[#This Row],[SNR]],Deelnemers[#Data],3,0),"")</f>
        <v>Nicole Schreuder Peters</v>
      </c>
      <c r="E8" t="str">
        <f>IFERROR(VLOOKUP(Table21[[#This Row],[SNR]],Deelnemers[#Data],4,0),"")</f>
        <v>Tessa</v>
      </c>
      <c r="F8" t="str">
        <f>IFERROR(VLOOKUP(Table21[[#This Row],[SNR]],Deelnemers[#Data],6,0),"")</f>
        <v>Border Collie</v>
      </c>
      <c r="G8">
        <v>5</v>
      </c>
      <c r="H8">
        <v>44.98</v>
      </c>
      <c r="I8">
        <v>1</v>
      </c>
      <c r="K8">
        <v>2</v>
      </c>
      <c r="M8">
        <f>IF(OR(ISNUMBER(SEARCH("Jumping", $C$5)),ISNUMBER(SEARCH("Vast Parcours", $C$5)), ISNUMBER(SEARCH("NKT", $C$5))),IF(OR(Table21[[#This Row],[Disk]]&gt;0,Table21[[#This Row],[W]]&gt;=3,Table21[[#This Row],[Tijd]]&gt;$F$3),"Disk",IF(ISBLANK(Table21[[#This Row],[Tijd]]),"",Table21[[#This Row],[Fouten]]+MAX(0,Table21[[#This Row],[Tijd]]-$F$2))),"-")</f>
        <v>15</v>
      </c>
      <c r="N8">
        <f>IFERROR(PRODUCT($F$4,1/Table21[[#This Row],[Tijd]]),0)</f>
        <v>3.9128501556247226</v>
      </c>
      <c r="O8">
        <f>SUM(Table21[[#This Row],[W]],Table21[[#This Row],[A]],Table21[[#This Row],[F]])*5</f>
        <v>15</v>
      </c>
      <c r="P8" t="str">
        <f>TEXT(Table21[[#This Row],[Score]],"00,00")&amp;TEXT(Table21[[#This Row],[Fouten]],"00")&amp;TEXT(Table21[[#This Row],[Tijd]],"00,000")</f>
        <v>15,001544,980</v>
      </c>
      <c r="Q8" t="str">
        <f>IF(IFERROR(VLOOKUP(Table21[[#This Row],[SNR]],Deelnemers[#Data],7,0),0)&lt;&gt;$C$4,"Loopt niet in deze groep!",IF(COUNTIF(Table21[SNR],Table21[[#This Row],[SNR]])&gt;1,"Dubbel",""))</f>
        <v/>
      </c>
    </row>
    <row r="9" spans="1:17" x14ac:dyDescent="0.2">
      <c r="A9">
        <f>IFERROR(VLOOKUP(Table21[[#This Row],[SNR]],Deelnemers[#Data],2,0),"")</f>
        <v>140201</v>
      </c>
      <c r="B9">
        <f>IF(VLOOKUP(Table21[[#This Row],[SNR]],Deelnemers[#Data],8,0)&gt;0,"BM",IF(Table21[[#This Row],[Score]]="Disk",0,MATCH(Table21[[#This Row],[Sorteren]],Table21[Sorteren],0)-COUNTIF($B$7:$B8,"BM")))</f>
        <v>0</v>
      </c>
      <c r="D9" t="str">
        <f>IFERROR(VLOOKUP(Table21[[#This Row],[SNR]],Deelnemers[#Data],3,0),"")</f>
        <v>Janne Lise de Boer</v>
      </c>
      <c r="E9" t="str">
        <f>IFERROR(VLOOKUP(Table21[[#This Row],[SNR]],Deelnemers[#Data],4,0),"")</f>
        <v>Jochie</v>
      </c>
      <c r="F9" t="str">
        <f>IFERROR(VLOOKUP(Table21[[#This Row],[SNR]],Deelnemers[#Data],6,0),"")</f>
        <v>Peruaanse Naakthond, Groot</v>
      </c>
      <c r="G9" s="4">
        <v>1</v>
      </c>
      <c r="H9" s="4"/>
      <c r="I9" s="4"/>
      <c r="J9" s="4"/>
      <c r="K9" s="4"/>
      <c r="L9" s="4" t="s">
        <v>326</v>
      </c>
      <c r="M9" t="str">
        <f>IF(OR(ISNUMBER(SEARCH("Jumping", $C$5)),ISNUMBER(SEARCH("Vast Parcours", $C$5)), ISNUMBER(SEARCH("NKT", $C$5))),IF(OR(Table21[[#This Row],[Disk]]&gt;0,Table21[[#This Row],[W]]&gt;=3,Table21[[#This Row],[Tijd]]&gt;$F$3),"Disk",IF(ISBLANK(Table21[[#This Row],[Tijd]]),"",Table21[[#This Row],[Fouten]]+MAX(0,Table21[[#This Row],[Tijd]]-$F$2))),"-")</f>
        <v>Disk</v>
      </c>
      <c r="N9">
        <f>IFERROR(PRODUCT($F$4,1/Table21[[#This Row],[Tijd]]),0)</f>
        <v>0</v>
      </c>
      <c r="O9">
        <f>SUM(Table21[[#This Row],[W]],Table21[[#This Row],[A]],Table21[[#This Row],[F]])*5</f>
        <v>0</v>
      </c>
      <c r="P9" t="str">
        <f>TEXT(Table21[[#This Row],[Score]],"00,00")&amp;TEXT(Table21[[#This Row],[Fouten]],"00")&amp;TEXT(Table21[[#This Row],[Tijd]],"00,000")</f>
        <v>Disk0000,000</v>
      </c>
      <c r="Q9" t="str">
        <f>IF(IFERROR(VLOOKUP(Table21[[#This Row],[SNR]],Deelnemers[#Data],7,0),0)&lt;&gt;$C$4,"Loopt niet in deze groep!",IF(COUNTIF(Table21[SNR],Table21[[#This Row],[SNR]])&gt;1,"Dubbel",""))</f>
        <v/>
      </c>
    </row>
    <row r="10" spans="1:17" x14ac:dyDescent="0.2">
      <c r="A10">
        <f>IFERROR(VLOOKUP(Table21[[#This Row],[SNR]],Deelnemers[#Data],2,0),"")</f>
        <v>146145</v>
      </c>
      <c r="B10">
        <f>IF(VLOOKUP(Table21[[#This Row],[SNR]],Deelnemers[#Data],8,0)&gt;0,"BM",IF(Table21[[#This Row],[Score]]="Disk",0,MATCH(Table21[[#This Row],[Sorteren]],Table21[Sorteren],0)-COUNTIF($B$7:$B9,"BM")))</f>
        <v>0</v>
      </c>
      <c r="D10" t="str">
        <f>IFERROR(VLOOKUP(Table21[[#This Row],[SNR]],Deelnemers[#Data],3,0),"")</f>
        <v>Marjolein van Sprang</v>
      </c>
      <c r="E10" t="str">
        <f>IFERROR(VLOOKUP(Table21[[#This Row],[SNR]],Deelnemers[#Data],4,0),"")</f>
        <v>Lola</v>
      </c>
      <c r="F10" t="str">
        <f>IFERROR(VLOOKUP(Table21[[#This Row],[SNR]],Deelnemers[#Data],6,0),"")</f>
        <v>kruising</v>
      </c>
      <c r="G10" s="4">
        <v>2</v>
      </c>
      <c r="H10" s="4"/>
      <c r="I10" s="4"/>
      <c r="J10" s="4"/>
      <c r="K10" s="4"/>
      <c r="L10" s="4" t="s">
        <v>326</v>
      </c>
      <c r="M10" t="str">
        <f>IF(OR(ISNUMBER(SEARCH("Jumping", $C$5)),ISNUMBER(SEARCH("Vast Parcours", $C$5)), ISNUMBER(SEARCH("NKT", $C$5))),IF(OR(Table21[[#This Row],[Disk]]&gt;0,Table21[[#This Row],[W]]&gt;=3,Table21[[#This Row],[Tijd]]&gt;$F$3),"Disk",IF(ISBLANK(Table21[[#This Row],[Tijd]]),"",Table21[[#This Row],[Fouten]]+MAX(0,Table21[[#This Row],[Tijd]]-$F$2))),"-")</f>
        <v>Disk</v>
      </c>
      <c r="N10">
        <f>IFERROR(PRODUCT($F$4,1/Table21[[#This Row],[Tijd]]),0)</f>
        <v>0</v>
      </c>
      <c r="O10">
        <f>SUM(Table21[[#This Row],[W]],Table21[[#This Row],[A]],Table21[[#This Row],[F]])*5</f>
        <v>0</v>
      </c>
      <c r="P10" t="str">
        <f>TEXT(Table21[[#This Row],[Score]],"00,00")&amp;TEXT(Table21[[#This Row],[Fouten]],"00")&amp;TEXT(Table21[[#This Row],[Tijd]],"00,000")</f>
        <v>Disk0000,000</v>
      </c>
      <c r="Q10" t="str">
        <f>IF(IFERROR(VLOOKUP(Table21[[#This Row],[SNR]],Deelnemers[#Data],7,0),0)&lt;&gt;$C$4,"Loopt niet in deze groep!",IF(COUNTIF(Table21[SNR],Table21[[#This Row],[SNR]])&gt;1,"Dubbel",""))</f>
        <v/>
      </c>
    </row>
    <row r="11" spans="1:17" x14ac:dyDescent="0.2">
      <c r="A11">
        <f>IFERROR(VLOOKUP(Table21[[#This Row],[SNR]],Deelnemers[#Data],2,0),"")</f>
        <v>155144</v>
      </c>
      <c r="B11">
        <f>IF(VLOOKUP(Table21[[#This Row],[SNR]],Deelnemers[#Data],8,0)&gt;0,"BM",IF(Table21[[#This Row],[Score]]="Disk",0,MATCH(Table21[[#This Row],[Sorteren]],Table21[Sorteren],0)-COUNTIF($B$7:$B10,"BM")))</f>
        <v>0</v>
      </c>
      <c r="D11" t="str">
        <f>IFERROR(VLOOKUP(Table21[[#This Row],[SNR]],Deelnemers[#Data],3,0),"")</f>
        <v>Geraldine Kort-Storch</v>
      </c>
      <c r="E11" t="str">
        <f>IFERROR(VLOOKUP(Table21[[#This Row],[SNR]],Deelnemers[#Data],4,0),"")</f>
        <v>Cuby</v>
      </c>
      <c r="F11" t="str">
        <f>IFERROR(VLOOKUP(Table21[[#This Row],[SNR]],Deelnemers[#Data],6,0),"")</f>
        <v>Border Collie</v>
      </c>
      <c r="G11" s="4">
        <v>3</v>
      </c>
      <c r="H11" s="4"/>
      <c r="I11" s="4"/>
      <c r="J11" s="4"/>
      <c r="K11" s="4"/>
      <c r="L11" s="4" t="s">
        <v>326</v>
      </c>
      <c r="M11" t="str">
        <f>IF(OR(ISNUMBER(SEARCH("Jumping", $C$5)),ISNUMBER(SEARCH("Vast Parcours", $C$5)), ISNUMBER(SEARCH("NKT", $C$5))),IF(OR(Table21[[#This Row],[Disk]]&gt;0,Table21[[#This Row],[W]]&gt;=3,Table21[[#This Row],[Tijd]]&gt;$F$3),"Disk",IF(ISBLANK(Table21[[#This Row],[Tijd]]),"",Table21[[#This Row],[Fouten]]+MAX(0,Table21[[#This Row],[Tijd]]-$F$2))),"-")</f>
        <v>Disk</v>
      </c>
      <c r="N11">
        <f>IFERROR(PRODUCT($F$4,1/Table21[[#This Row],[Tijd]]),0)</f>
        <v>0</v>
      </c>
      <c r="O11">
        <f>SUM(Table21[[#This Row],[W]],Table21[[#This Row],[A]],Table21[[#This Row],[F]])*5</f>
        <v>0</v>
      </c>
      <c r="P11" t="str">
        <f>TEXT(Table21[[#This Row],[Score]],"00,00")&amp;TEXT(Table21[[#This Row],[Fouten]],"00")&amp;TEXT(Table21[[#This Row],[Tijd]],"00,000")</f>
        <v>Disk0000,000</v>
      </c>
      <c r="Q11" t="str">
        <f>IF(IFERROR(VLOOKUP(Table21[[#This Row],[SNR]],Deelnemers[#Data],7,0),0)&lt;&gt;$C$4,"Loopt niet in deze groep!",IF(COUNTIF(Table21[SNR],Table21[[#This Row],[SNR]])&gt;1,"Dubbel",""))</f>
        <v/>
      </c>
    </row>
    <row r="12" spans="1:17" x14ac:dyDescent="0.2">
      <c r="A12">
        <f>IFERROR(VLOOKUP(Table21[[#This Row],[SNR]],Deelnemers[#Data],2,0),"")</f>
        <v>421463</v>
      </c>
      <c r="B12">
        <f>IF(VLOOKUP(Table21[[#This Row],[SNR]],Deelnemers[#Data],8,0)&gt;0,"BM",IF(Table21[[#This Row],[Score]]="Disk",0,MATCH(Table21[[#This Row],[Sorteren]],Table21[Sorteren],0)-COUNTIF($B$7:$B11,"BM")))</f>
        <v>0</v>
      </c>
      <c r="D12" t="str">
        <f>IFERROR(VLOOKUP(Table21[[#This Row],[SNR]],Deelnemers[#Data],3,0),"")</f>
        <v>Marieke Timmer</v>
      </c>
      <c r="E12" t="str">
        <f>IFERROR(VLOOKUP(Table21[[#This Row],[SNR]],Deelnemers[#Data],4,0),"")</f>
        <v>Twiggy</v>
      </c>
      <c r="F12" t="str">
        <f>IFERROR(VLOOKUP(Table21[[#This Row],[SNR]],Deelnemers[#Data],6,0),"")</f>
        <v>Border Collie</v>
      </c>
      <c r="G12" s="4">
        <v>4</v>
      </c>
      <c r="H12" s="4"/>
      <c r="I12" s="4"/>
      <c r="J12" s="4"/>
      <c r="K12" s="4"/>
      <c r="L12" s="4" t="s">
        <v>326</v>
      </c>
      <c r="M12" t="str">
        <f>IF(OR(ISNUMBER(SEARCH("Jumping", $C$5)),ISNUMBER(SEARCH("Vast Parcours", $C$5)), ISNUMBER(SEARCH("NKT", $C$5))),IF(OR(Table21[[#This Row],[Disk]]&gt;0,Table21[[#This Row],[W]]&gt;=3,Table21[[#This Row],[Tijd]]&gt;$F$3),"Disk",IF(ISBLANK(Table21[[#This Row],[Tijd]]),"",Table21[[#This Row],[Fouten]]+MAX(0,Table21[[#This Row],[Tijd]]-$F$2))),"-")</f>
        <v>Disk</v>
      </c>
      <c r="N12">
        <f>IFERROR(PRODUCT($F$4,1/Table21[[#This Row],[Tijd]]),0)</f>
        <v>0</v>
      </c>
      <c r="O12">
        <f>SUM(Table21[[#This Row],[W]],Table21[[#This Row],[A]],Table21[[#This Row],[F]])*5</f>
        <v>0</v>
      </c>
      <c r="P12" t="str">
        <f>TEXT(Table21[[#This Row],[Score]],"00,00")&amp;TEXT(Table21[[#This Row],[Fouten]],"00")&amp;TEXT(Table21[[#This Row],[Tijd]],"00,000")</f>
        <v>Disk0000,000</v>
      </c>
      <c r="Q12" t="str">
        <f>IF(IFERROR(VLOOKUP(Table21[[#This Row],[SNR]],Deelnemers[#Data],7,0),0)&lt;&gt;$C$4,"Loopt niet in deze groep!",IF(COUNTIF(Table21[SNR],Table21[[#This Row],[SNR]])&gt;1,"Dubbel",""))</f>
        <v/>
      </c>
    </row>
    <row r="13" spans="1:17" x14ac:dyDescent="0.2">
      <c r="A13">
        <f>IFERROR(VLOOKUP(Table21[[#This Row],[SNR]],Deelnemers[#Data],2,0),"")</f>
        <v>400949</v>
      </c>
      <c r="B13">
        <f>IF(VLOOKUP(Table21[[#This Row],[SNR]],Deelnemers[#Data],8,0)&gt;0,"BM",IF(Table21[[#This Row],[Score]]="Disk",0,MATCH(Table21[[#This Row],[Sorteren]],Table21[Sorteren],0)-COUNTIF($B$7:$B12,"BM")))</f>
        <v>0</v>
      </c>
      <c r="D13" t="str">
        <f>IFERROR(VLOOKUP(Table21[[#This Row],[SNR]],Deelnemers[#Data],3,0),"")</f>
        <v>Thea van Niekerk</v>
      </c>
      <c r="E13" t="str">
        <f>IFERROR(VLOOKUP(Table21[[#This Row],[SNR]],Deelnemers[#Data],4,0),"")</f>
        <v>Ace</v>
      </c>
      <c r="F13" t="str">
        <f>IFERROR(VLOOKUP(Table21[[#This Row],[SNR]],Deelnemers[#Data],6,0),"")</f>
        <v>Belgische Herdershond, Groenendaeler</v>
      </c>
      <c r="G13" s="4">
        <v>6</v>
      </c>
      <c r="H13" s="4"/>
      <c r="I13" s="4"/>
      <c r="J13" s="4"/>
      <c r="K13" s="4"/>
      <c r="L13" s="4" t="s">
        <v>326</v>
      </c>
      <c r="M13" t="str">
        <f>IF(OR(ISNUMBER(SEARCH("Jumping", $C$5)),ISNUMBER(SEARCH("Vast Parcours", $C$5)), ISNUMBER(SEARCH("NKT", $C$5))),IF(OR(Table21[[#This Row],[Disk]]&gt;0,Table21[[#This Row],[W]]&gt;=3,Table21[[#This Row],[Tijd]]&gt;$F$3),"Disk",IF(ISBLANK(Table21[[#This Row],[Tijd]]),"",Table21[[#This Row],[Fouten]]+MAX(0,Table21[[#This Row],[Tijd]]-$F$2))),"-")</f>
        <v>Disk</v>
      </c>
      <c r="N13">
        <f>IFERROR(PRODUCT($F$4,1/Table21[[#This Row],[Tijd]]),0)</f>
        <v>0</v>
      </c>
      <c r="O13">
        <f>SUM(Table21[[#This Row],[W]],Table21[[#This Row],[A]],Table21[[#This Row],[F]])*5</f>
        <v>0</v>
      </c>
      <c r="P13" t="str">
        <f>TEXT(Table21[[#This Row],[Score]],"00,00")&amp;TEXT(Table21[[#This Row],[Fouten]],"00")&amp;TEXT(Table21[[#This Row],[Tijd]],"00,000")</f>
        <v>Disk0000,000</v>
      </c>
      <c r="Q13" t="str">
        <f>IF(IFERROR(VLOOKUP(Table21[[#This Row],[SNR]],Deelnemers[#Data],7,0),0)&lt;&gt;$C$4,"Loopt niet in deze groep!",IF(COUNTIF(Table21[SNR],Table21[[#This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61" priority="1">
      <formula>LEN(TRIM(F1))=0</formula>
    </cfRule>
  </conditionalFormatting>
  <dataValidations count="2">
    <dataValidation type="list" allowBlank="1" showInputMessage="1" showErrorMessage="1" sqref="C4" xr:uid="{00000000-0002-0000-1500-000000000000}">
      <formula1>GroepLijst</formula1>
    </dataValidation>
    <dataValidation type="list" allowBlank="1" showInputMessage="1" showErrorMessage="1" sqref="F1" xr:uid="{BDA9B1D8-993E-554C-995B-477D4569D831}">
      <formula1>KeurmeesterLijst</formula1>
    </dataValidation>
  </dataValidations>
  <pageMargins left="0.7" right="0.7" top="0.75" bottom="0.75" header="0.3" footer="0.3"/>
  <pageSetup paperSize="9" fitToHeight="0" orientation="portrait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13"/>
  <sheetViews>
    <sheetView workbookViewId="0">
      <selection activeCell="F2" sqref="F2:F4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3">
        <v>45</v>
      </c>
      <c r="G2" t="s">
        <v>308</v>
      </c>
      <c r="H2" s="12" t="str">
        <f>$C$4</f>
        <v>3ᵉ graad Large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3">
        <v>74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6</v>
      </c>
      <c r="D4" s="13"/>
      <c r="E4" t="s">
        <v>310</v>
      </c>
      <c r="F4" s="3">
        <v>176</v>
      </c>
      <c r="G4" t="s">
        <v>311</v>
      </c>
      <c r="H4" s="12" t="str">
        <f>$C$5</f>
        <v>Vast Parcours 2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IFERROR(VLOOKUP(Table22[[#This Row],[SNR]],Deelnemers[#Data],2,0),"")</f>
        <v>421463</v>
      </c>
      <c r="B8">
        <f>IF(VLOOKUP(Table22[[#This Row],[SNR]],Deelnemers[#Data],8,0)&gt;0,"BM",IF(Table22[[#This Row],[Score]]="Disk",0,MATCH(Table22[[#This Row],[Sorteren]],Table22[Sorteren],0)-COUNTIF($B$7:$B7,"BM")))</f>
        <v>1</v>
      </c>
      <c r="D8" t="str">
        <f>IFERROR(VLOOKUP(Table22[[#This Row],[SNR]],Deelnemers[#Data],3,0),"")</f>
        <v>Marieke Timmer</v>
      </c>
      <c r="E8" t="str">
        <f>IFERROR(VLOOKUP(Table22[[#This Row],[SNR]],Deelnemers[#Data],4,0),"")</f>
        <v>Twiggy</v>
      </c>
      <c r="F8" t="str">
        <f>IFERROR(VLOOKUP(Table22[[#This Row],[SNR]],Deelnemers[#Data],6,0),"")</f>
        <v>Border Collie</v>
      </c>
      <c r="G8" s="8">
        <v>4</v>
      </c>
      <c r="H8" s="8">
        <v>37.96</v>
      </c>
      <c r="I8" s="8"/>
      <c r="J8" s="8"/>
      <c r="K8" s="8">
        <v>1</v>
      </c>
      <c r="L8" s="8"/>
      <c r="M8">
        <f>IF(OR(ISNUMBER(SEARCH("Jumping", $C$5)),ISNUMBER(SEARCH("Vast Parcours", $C$5)), ISNUMBER(SEARCH("NKT", $C$5))),IF(OR(Table22[[#This Row],[Disk]]&gt;0,Table22[[#This Row],[W]]&gt;=3,Table22[[#This Row],[Tijd]]&gt;$F$3),"Disk",IF(ISBLANK(Table22[[#This Row],[Tijd]]),"",Table22[[#This Row],[Fouten]]+MAX(0,Table22[[#This Row],[Tijd]]-$F$2))),"-")</f>
        <v>5</v>
      </c>
      <c r="N8">
        <f>IFERROR(PRODUCT($F$4,1/Table22[[#This Row],[Tijd]]),0)</f>
        <v>4.6364594309799791</v>
      </c>
      <c r="O8">
        <f>SUM(Table22[[#This Row],[W]],Table22[[#This Row],[A]],Table22[[#This Row],[F]])*5</f>
        <v>5</v>
      </c>
      <c r="P8" t="str">
        <f>TEXT(Table22[[#This Row],[Score]],"00,00")&amp;TEXT(Table22[[#This Row],[Fouten]],"00")&amp;TEXT(Table22[[#This Row],[Tijd]],"00,000")</f>
        <v>05,000537,960</v>
      </c>
      <c r="Q8" t="str">
        <f>IF(IFERROR(VLOOKUP(Table22[[#This Row],[SNR]],Deelnemers[#Data],7,0),0)&lt;&gt;$C$4,"Loopt niet in deze groep!",IF(COUNTIF(Table22[SNR],Table22[[#This Row],[SNR]])&gt;1,"Dubbel",""))</f>
        <v/>
      </c>
    </row>
    <row r="9" spans="1:17" x14ac:dyDescent="0.2">
      <c r="A9">
        <f>IFERROR(VLOOKUP(Table22[[#This Row],[SNR]],Deelnemers[#Data],2,0),"")</f>
        <v>400949</v>
      </c>
      <c r="B9">
        <f>IF(VLOOKUP(Table22[[#This Row],[SNR]],Deelnemers[#Data],8,0)&gt;0,"BM",IF(Table22[[#This Row],[Score]]="Disk",0,MATCH(Table22[[#This Row],[Sorteren]],Table22[Sorteren],0)-COUNTIF($B$7:$B8,"BM")))</f>
        <v>2</v>
      </c>
      <c r="D9" t="str">
        <f>IFERROR(VLOOKUP(Table22[[#This Row],[SNR]],Deelnemers[#Data],3,0),"")</f>
        <v>Thea van Niekerk</v>
      </c>
      <c r="E9" t="str">
        <f>IFERROR(VLOOKUP(Table22[[#This Row],[SNR]],Deelnemers[#Data],4,0),"")</f>
        <v>Ace</v>
      </c>
      <c r="F9" t="str">
        <f>IFERROR(VLOOKUP(Table22[[#This Row],[SNR]],Deelnemers[#Data],6,0),"")</f>
        <v>Belgische Herdershond, Groenendaeler</v>
      </c>
      <c r="G9" s="8">
        <v>6</v>
      </c>
      <c r="H9" s="8">
        <v>45.36</v>
      </c>
      <c r="I9" s="8"/>
      <c r="J9" s="8"/>
      <c r="K9" s="8">
        <v>1</v>
      </c>
      <c r="L9" s="8"/>
      <c r="M9">
        <f>IF(OR(ISNUMBER(SEARCH("Jumping", $C$5)),ISNUMBER(SEARCH("Vast Parcours", $C$5)), ISNUMBER(SEARCH("NKT", $C$5))),IF(OR(Table22[[#This Row],[Disk]]&gt;0,Table22[[#This Row],[W]]&gt;=3,Table22[[#This Row],[Tijd]]&gt;$F$3),"Disk",IF(ISBLANK(Table22[[#This Row],[Tijd]]),"",Table22[[#This Row],[Fouten]]+MAX(0,Table22[[#This Row],[Tijd]]-$F$2))),"-")</f>
        <v>5.3599999999999994</v>
      </c>
      <c r="N9">
        <f>IFERROR(PRODUCT($F$4,1/Table22[[#This Row],[Tijd]]),0)</f>
        <v>3.8800705467372132</v>
      </c>
      <c r="O9">
        <f>SUM(Table22[[#This Row],[W]],Table22[[#This Row],[A]],Table22[[#This Row],[F]])*5</f>
        <v>5</v>
      </c>
      <c r="P9" t="str">
        <f>TEXT(Table22[[#This Row],[Score]],"00,00")&amp;TEXT(Table22[[#This Row],[Fouten]],"00")&amp;TEXT(Table22[[#This Row],[Tijd]],"00,000")</f>
        <v>05,360545,360</v>
      </c>
      <c r="Q9" t="str">
        <f>IF(IFERROR(VLOOKUP(Table22[[#This Row],[SNR]],Deelnemers[#Data],7,0),0)&lt;&gt;$C$4,"Loopt niet in deze groep!",IF(COUNTIF(Table22[SNR],Table22[[#This Row],[SNR]])&gt;1,"Dubbel",""))</f>
        <v/>
      </c>
    </row>
    <row r="10" spans="1:17" x14ac:dyDescent="0.2">
      <c r="A10">
        <f>IFERROR(VLOOKUP(Table22[[#This Row],[SNR]],Deelnemers[#Data],2,0),"")</f>
        <v>140201</v>
      </c>
      <c r="B10">
        <f>IF(VLOOKUP(Table22[[#This Row],[SNR]],Deelnemers[#Data],8,0)&gt;0,"BM",IF(Table22[[#This Row],[Score]]="Disk",0,MATCH(Table22[[#This Row],[Sorteren]],Table22[Sorteren],0)-COUNTIF($B$7:$B9,"BM")))</f>
        <v>3</v>
      </c>
      <c r="D10" t="str">
        <f>IFERROR(VLOOKUP(Table22[[#This Row],[SNR]],Deelnemers[#Data],3,0),"")</f>
        <v>Janne Lise de Boer</v>
      </c>
      <c r="E10" t="str">
        <f>IFERROR(VLOOKUP(Table22[[#This Row],[SNR]],Deelnemers[#Data],4,0),"")</f>
        <v>Jochie</v>
      </c>
      <c r="F10" t="str">
        <f>IFERROR(VLOOKUP(Table22[[#This Row],[SNR]],Deelnemers[#Data],6,0),"")</f>
        <v>Peruaanse Naakthond, Groot</v>
      </c>
      <c r="G10">
        <v>1</v>
      </c>
      <c r="H10">
        <v>42.6</v>
      </c>
      <c r="K10">
        <v>2</v>
      </c>
      <c r="M10">
        <f>IF(OR(ISNUMBER(SEARCH("Jumping", $C$5)),ISNUMBER(SEARCH("Vast Parcours", $C$5)), ISNUMBER(SEARCH("NKT", $C$5))),IF(OR(Table22[[#This Row],[Disk]]&gt;0,Table22[[#This Row],[W]]&gt;=3,Table22[[#This Row],[Tijd]]&gt;$F$3),"Disk",IF(ISBLANK(Table22[[#This Row],[Tijd]]),"",Table22[[#This Row],[Fouten]]+MAX(0,Table22[[#This Row],[Tijd]]-$F$2))),"-")</f>
        <v>10</v>
      </c>
      <c r="N10">
        <f>IFERROR(PRODUCT($F$4,1/Table22[[#This Row],[Tijd]]),0)</f>
        <v>4.131455399061033</v>
      </c>
      <c r="O10">
        <f>SUM(Table22[[#This Row],[W]],Table22[[#This Row],[A]],Table22[[#This Row],[F]])*5</f>
        <v>10</v>
      </c>
      <c r="P10" t="str">
        <f>TEXT(Table22[[#This Row],[Score]],"00,00")&amp;TEXT(Table22[[#This Row],[Fouten]],"00")&amp;TEXT(Table22[[#This Row],[Tijd]],"00,000")</f>
        <v>10,001042,600</v>
      </c>
      <c r="Q10" t="str">
        <f>IF(IFERROR(VLOOKUP(Table22[[#This Row],[SNR]],Deelnemers[#Data],7,0),0)&lt;&gt;$C$4,"Loopt niet in deze groep!",IF(COUNTIF(Table22[SNR],Table22[[#This Row],[SNR]])&gt;1,"Dubbel",""))</f>
        <v/>
      </c>
    </row>
    <row r="11" spans="1:17" x14ac:dyDescent="0.2">
      <c r="A11">
        <f>IFERROR(VLOOKUP(Table22[[#This Row],[SNR]],Deelnemers[#Data],2,0),"")</f>
        <v>155144</v>
      </c>
      <c r="B11">
        <f>IF(VLOOKUP(Table22[[#This Row],[SNR]],Deelnemers[#Data],8,0)&gt;0,"BM",IF(Table22[[#This Row],[Score]]="Disk",0,MATCH(Table22[[#This Row],[Sorteren]],Table22[Sorteren],0)-COUNTIF($B$7:$B10,"BM")))</f>
        <v>4</v>
      </c>
      <c r="D11" t="str">
        <f>IFERROR(VLOOKUP(Table22[[#This Row],[SNR]],Deelnemers[#Data],3,0),"")</f>
        <v>Geraldine Kort-Storch</v>
      </c>
      <c r="E11" t="str">
        <f>IFERROR(VLOOKUP(Table22[[#This Row],[SNR]],Deelnemers[#Data],4,0),"")</f>
        <v>Cuby</v>
      </c>
      <c r="F11" t="str">
        <f>IFERROR(VLOOKUP(Table22[[#This Row],[SNR]],Deelnemers[#Data],6,0),"")</f>
        <v>Border Collie</v>
      </c>
      <c r="G11" s="8">
        <v>3</v>
      </c>
      <c r="H11" s="8">
        <v>52.2</v>
      </c>
      <c r="I11" s="8">
        <v>1</v>
      </c>
      <c r="J11" s="8"/>
      <c r="K11" s="8"/>
      <c r="L11" s="8"/>
      <c r="M11">
        <f>IF(OR(ISNUMBER(SEARCH("Jumping", $C$5)),ISNUMBER(SEARCH("Vast Parcours", $C$5)), ISNUMBER(SEARCH("NKT", $C$5))),IF(OR(Table22[[#This Row],[Disk]]&gt;0,Table22[[#This Row],[W]]&gt;=3,Table22[[#This Row],[Tijd]]&gt;$F$3),"Disk",IF(ISBLANK(Table22[[#This Row],[Tijd]]),"",Table22[[#This Row],[Fouten]]+MAX(0,Table22[[#This Row],[Tijd]]-$F$2))),"-")</f>
        <v>12.200000000000003</v>
      </c>
      <c r="N11">
        <f>IFERROR(PRODUCT($F$4,1/Table22[[#This Row],[Tijd]]),0)</f>
        <v>3.3716475095785436</v>
      </c>
      <c r="O11">
        <f>SUM(Table22[[#This Row],[W]],Table22[[#This Row],[A]],Table22[[#This Row],[F]])*5</f>
        <v>5</v>
      </c>
      <c r="P11" t="str">
        <f>TEXT(Table22[[#This Row],[Score]],"00,00")&amp;TEXT(Table22[[#This Row],[Fouten]],"00")&amp;TEXT(Table22[[#This Row],[Tijd]],"00,000")</f>
        <v>12,200552,200</v>
      </c>
      <c r="Q11" t="str">
        <f>IF(IFERROR(VLOOKUP(Table22[[#This Row],[SNR]],Deelnemers[#Data],7,0),0)&lt;&gt;$C$4,"Loopt niet in deze groep!",IF(COUNTIF(Table22[SNR],Table22[[#This Row],[SNR]])&gt;1,"Dubbel",""))</f>
        <v/>
      </c>
    </row>
    <row r="12" spans="1:17" x14ac:dyDescent="0.2">
      <c r="A12">
        <f>IFERROR(VLOOKUP(Table22[[#This Row],[SNR]],Deelnemers[#Data],2,0),"")</f>
        <v>146145</v>
      </c>
      <c r="B12">
        <f>IF(VLOOKUP(Table22[[#This Row],[SNR]],Deelnemers[#Data],8,0)&gt;0,"BM",IF(Table22[[#This Row],[Score]]="Disk",0,MATCH(Table22[[#This Row],[Sorteren]],Table22[Sorteren],0)-COUNTIF($B$7:$B11,"BM")))</f>
        <v>5</v>
      </c>
      <c r="D12" t="str">
        <f>IFERROR(VLOOKUP(Table22[[#This Row],[SNR]],Deelnemers[#Data],3,0),"")</f>
        <v>Marjolein van Sprang</v>
      </c>
      <c r="E12" t="str">
        <f>IFERROR(VLOOKUP(Table22[[#This Row],[SNR]],Deelnemers[#Data],4,0),"")</f>
        <v>Lola</v>
      </c>
      <c r="F12" t="str">
        <f>IFERROR(VLOOKUP(Table22[[#This Row],[SNR]],Deelnemers[#Data],6,0),"")</f>
        <v>kruising</v>
      </c>
      <c r="G12" s="8">
        <v>2</v>
      </c>
      <c r="H12" s="8">
        <v>43.54</v>
      </c>
      <c r="I12" s="8">
        <v>1</v>
      </c>
      <c r="J12" s="8"/>
      <c r="K12" s="8">
        <v>2</v>
      </c>
      <c r="L12" s="8"/>
      <c r="M12">
        <f>IF(OR(ISNUMBER(SEARCH("Jumping", $C$5)),ISNUMBER(SEARCH("Vast Parcours", $C$5)), ISNUMBER(SEARCH("NKT", $C$5))),IF(OR(Table22[[#This Row],[Disk]]&gt;0,Table22[[#This Row],[W]]&gt;=3,Table22[[#This Row],[Tijd]]&gt;$F$3),"Disk",IF(ISBLANK(Table22[[#This Row],[Tijd]]),"",Table22[[#This Row],[Fouten]]+MAX(0,Table22[[#This Row],[Tijd]]-$F$2))),"-")</f>
        <v>15</v>
      </c>
      <c r="N12">
        <f>IFERROR(PRODUCT($F$4,1/Table22[[#This Row],[Tijd]]),0)</f>
        <v>4.0422599908130454</v>
      </c>
      <c r="O12">
        <f>SUM(Table22[[#This Row],[W]],Table22[[#This Row],[A]],Table22[[#This Row],[F]])*5</f>
        <v>15</v>
      </c>
      <c r="P12" t="str">
        <f>TEXT(Table22[[#This Row],[Score]],"00,00")&amp;TEXT(Table22[[#This Row],[Fouten]],"00")&amp;TEXT(Table22[[#This Row],[Tijd]],"00,000")</f>
        <v>15,001543,540</v>
      </c>
      <c r="Q12" t="str">
        <f>IF(IFERROR(VLOOKUP(Table22[[#This Row],[SNR]],Deelnemers[#Data],7,0),0)&lt;&gt;$C$4,"Loopt niet in deze groep!",IF(COUNTIF(Table22[SNR],Table22[[#This Row],[SNR]])&gt;1,"Dubbel",""))</f>
        <v/>
      </c>
    </row>
    <row r="13" spans="1:17" x14ac:dyDescent="0.2">
      <c r="A13">
        <f>IFERROR(VLOOKUP(Table22[[#This Row],[SNR]],Deelnemers[#Data],2,0),"")</f>
        <v>434035</v>
      </c>
      <c r="B13">
        <f>IF(VLOOKUP(Table22[[#This Row],[SNR]],Deelnemers[#Data],8,0)&gt;0,"BM",IF(Table22[[#This Row],[Score]]="Disk",0,MATCH(Table22[[#This Row],[Sorteren]],Table22[Sorteren],0)-COUNTIF($B$7:$B12,"BM")))</f>
        <v>0</v>
      </c>
      <c r="D13" t="str">
        <f>IFERROR(VLOOKUP(Table22[[#This Row],[SNR]],Deelnemers[#Data],3,0),"")</f>
        <v>Nicole Schreuder Peters</v>
      </c>
      <c r="E13" t="str">
        <f>IFERROR(VLOOKUP(Table22[[#This Row],[SNR]],Deelnemers[#Data],4,0),"")</f>
        <v>Tessa</v>
      </c>
      <c r="F13" t="str">
        <f>IFERROR(VLOOKUP(Table22[[#This Row],[SNR]],Deelnemers[#Data],6,0),"")</f>
        <v>Border Collie</v>
      </c>
      <c r="G13" s="8">
        <v>5</v>
      </c>
      <c r="H13" s="8"/>
      <c r="I13" s="8"/>
      <c r="J13" s="8"/>
      <c r="K13" s="8"/>
      <c r="L13" s="8" t="s">
        <v>326</v>
      </c>
      <c r="M13" t="str">
        <f>IF(OR(ISNUMBER(SEARCH("Jumping", $C$5)),ISNUMBER(SEARCH("Vast Parcours", $C$5)), ISNUMBER(SEARCH("NKT", $C$5))),IF(OR(Table22[[#This Row],[Disk]]&gt;0,Table22[[#This Row],[W]]&gt;=3,Table22[[#This Row],[Tijd]]&gt;$F$3),"Disk",IF(ISBLANK(Table22[[#This Row],[Tijd]]),"",Table22[[#This Row],[Fouten]]+MAX(0,Table22[[#This Row],[Tijd]]-$F$2))),"-")</f>
        <v>Disk</v>
      </c>
      <c r="N13">
        <f>IFERROR(PRODUCT($F$4,1/Table22[[#This Row],[Tijd]]),0)</f>
        <v>0</v>
      </c>
      <c r="O13">
        <f>SUM(Table22[[#This Row],[W]],Table22[[#This Row],[A]],Table22[[#This Row],[F]])*5</f>
        <v>0</v>
      </c>
      <c r="P13" t="str">
        <f>TEXT(Table22[[#This Row],[Score]],"00,00")&amp;TEXT(Table22[[#This Row],[Fouten]],"00")&amp;TEXT(Table22[[#This Row],[Tijd]],"00,000")</f>
        <v>Disk0000,000</v>
      </c>
      <c r="Q13" t="str">
        <f>IF(IFERROR(VLOOKUP(Table22[[#This Row],[SNR]],Deelnemers[#Data],7,0),0)&lt;&gt;$C$4,"Loopt niet in deze groep!",IF(COUNTIF(Table22[SNR],Table22[[#This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2:F4">
    <cfRule type="containsBlanks" dxfId="54" priority="2">
      <formula>LEN(TRIM(F2))=0</formula>
    </cfRule>
  </conditionalFormatting>
  <conditionalFormatting sqref="F1">
    <cfRule type="containsBlanks" dxfId="53" priority="1">
      <formula>LEN(TRIM(F1))=0</formula>
    </cfRule>
  </conditionalFormatting>
  <dataValidations count="2">
    <dataValidation type="list" allowBlank="1" showInputMessage="1" showErrorMessage="1" sqref="C4" xr:uid="{00000000-0002-0000-1600-000000000000}">
      <formula1>GroepLijst</formula1>
    </dataValidation>
    <dataValidation type="list" allowBlank="1" showInputMessage="1" showErrorMessage="1" sqref="F1" xr:uid="{5C29ACD1-FFBB-3D43-8215-0F058197F998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15"/>
  <sheetViews>
    <sheetView workbookViewId="0">
      <selection activeCell="F2" sqref="F2:F4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3">
        <v>35</v>
      </c>
      <c r="G2" t="s">
        <v>308</v>
      </c>
      <c r="H2" s="12" t="str">
        <f>$C$4</f>
        <v>3ᵉ graad Medium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3">
        <v>60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7</v>
      </c>
      <c r="D4" s="13"/>
      <c r="E4" t="s">
        <v>310</v>
      </c>
      <c r="F4" s="3">
        <v>139</v>
      </c>
      <c r="G4" t="s">
        <v>311</v>
      </c>
      <c r="H4" s="12" t="str">
        <f>$C$5</f>
        <v>Jumping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305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IFERROR(VLOOKUP(Table23[[#This Row],[SNR]],Deelnemers[#Data],2,0),"")</f>
        <v>403602</v>
      </c>
      <c r="B8">
        <f>IF(VLOOKUP(Table23[[#This Row],[SNR]],Deelnemers[#Data],8,0)&gt;0,"BM",IF(Table23[[#This Row],[Score]]="Disk",0,MATCH(Table23[[#This Row],[Sorteren]],Table23[Sorteren],0)-COUNTIF($B$7:$B7,"BM")))</f>
        <v>1</v>
      </c>
      <c r="D8" t="str">
        <f>IFERROR(VLOOKUP(Table23[[#This Row],[SNR]],Deelnemers[#Data],3,0),"")</f>
        <v>Eerjan de Bruijn</v>
      </c>
      <c r="E8" t="str">
        <f>IFERROR(VLOOKUP(Table23[[#This Row],[SNR]],Deelnemers[#Data],4,0),"")</f>
        <v>Laika</v>
      </c>
      <c r="F8" t="str">
        <f>IFERROR(VLOOKUP(Table23[[#This Row],[SNR]],Deelnemers[#Data],6,0),"")</f>
        <v>Shetland Sheepdog</v>
      </c>
      <c r="G8" s="9">
        <v>121</v>
      </c>
      <c r="H8" s="9">
        <v>32.520000000000003</v>
      </c>
      <c r="I8" s="9"/>
      <c r="J8" s="9"/>
      <c r="K8" s="9"/>
      <c r="L8" s="9"/>
      <c r="M8">
        <f>IF(OR(ISNUMBER(SEARCH("Jumping", $C$5)),ISNUMBER(SEARCH("Vast Parcours", $C$5)), ISNUMBER(SEARCH("NKT", $C$5))),IF(OR(Table23[[#This Row],[Disk]]&gt;0,Table23[[#This Row],[W]]&gt;=3,Table23[[#This Row],[Tijd]]&gt;$F$3),"Disk",IF(ISBLANK(Table23[[#This Row],[Tijd]]),"",Table23[[#This Row],[Fouten]]+MAX(0,Table23[[#This Row],[Tijd]]-$F$2))),"-")</f>
        <v>0</v>
      </c>
      <c r="N8">
        <f>IFERROR(PRODUCT($F$4,1/Table23[[#This Row],[Tijd]]),0)</f>
        <v>4.2742927429274289</v>
      </c>
      <c r="O8">
        <f>SUM(Table23[[#This Row],[W]],Table23[[#This Row],[A]],Table23[[#This Row],[F]])*5</f>
        <v>0</v>
      </c>
      <c r="P8" t="str">
        <f>TEXT(Table23[[#This Row],[Score]],"00,00")&amp;TEXT(Table23[[#This Row],[Fouten]],"00")&amp;TEXT(Table23[[#This Row],[Tijd]],"00,000")</f>
        <v>00,000032,520</v>
      </c>
      <c r="Q8" t="str">
        <f>IF(IFERROR(VLOOKUP(Table23[[#This Row],[SNR]],Deelnemers[#Data],7,0),0)&lt;&gt;$C$4,"Loopt niet in deze groep!",IF(COUNTIF(Table23[SNR],Table23[[#This Row],[SNR]])&gt;1,"Dubbel",""))</f>
        <v/>
      </c>
    </row>
    <row r="9" spans="1:17" x14ac:dyDescent="0.2">
      <c r="A9">
        <f>IFERROR(VLOOKUP(Table23[[#This Row],[SNR]],Deelnemers[#Data],2,0),"")</f>
        <v>411891</v>
      </c>
      <c r="B9">
        <f>IF(VLOOKUP(Table23[[#This Row],[SNR]],Deelnemers[#Data],8,0)&gt;0,"BM",IF(Table23[[#This Row],[Score]]="Disk",0,MATCH(Table23[[#This Row],[Sorteren]],Table23[Sorteren],0)-COUNTIF($B$7:$B8,"BM")))</f>
        <v>2</v>
      </c>
      <c r="D9" t="str">
        <f>IFERROR(VLOOKUP(Table23[[#This Row],[SNR]],Deelnemers[#Data],3,0),"")</f>
        <v>Mariën Balt</v>
      </c>
      <c r="E9" t="str">
        <f>IFERROR(VLOOKUP(Table23[[#This Row],[SNR]],Deelnemers[#Data],4,0),"")</f>
        <v>Zyzo</v>
      </c>
      <c r="F9" t="str">
        <f>IFERROR(VLOOKUP(Table23[[#This Row],[SNR]],Deelnemers[#Data],6,0),"")</f>
        <v>rasloos</v>
      </c>
      <c r="G9" s="9">
        <v>9</v>
      </c>
      <c r="H9" s="9">
        <v>33.520000000000003</v>
      </c>
      <c r="I9" s="9"/>
      <c r="J9" s="9"/>
      <c r="K9" s="9"/>
      <c r="L9" s="9"/>
      <c r="M9">
        <f>IF(OR(ISNUMBER(SEARCH("Jumping", $C$5)),ISNUMBER(SEARCH("Vast Parcours", $C$5)), ISNUMBER(SEARCH("NKT", $C$5))),IF(OR(Table23[[#This Row],[Disk]]&gt;0,Table23[[#This Row],[W]]&gt;=3,Table23[[#This Row],[Tijd]]&gt;$F$3),"Disk",IF(ISBLANK(Table23[[#This Row],[Tijd]]),"",Table23[[#This Row],[Fouten]]+MAX(0,Table23[[#This Row],[Tijd]]-$F$2))),"-")</f>
        <v>0</v>
      </c>
      <c r="N9">
        <f>IFERROR(PRODUCT($F$4,1/Table23[[#This Row],[Tijd]]),0)</f>
        <v>4.1467780429594265</v>
      </c>
      <c r="O9">
        <f>SUM(Table23[[#This Row],[W]],Table23[[#This Row],[A]],Table23[[#This Row],[F]])*5</f>
        <v>0</v>
      </c>
      <c r="P9" t="str">
        <f>TEXT(Table23[[#This Row],[Score]],"00,00")&amp;TEXT(Table23[[#This Row],[Fouten]],"00")&amp;TEXT(Table23[[#This Row],[Tijd]],"00,000")</f>
        <v>00,000033,520</v>
      </c>
      <c r="Q9" t="str">
        <f>IF(IFERROR(VLOOKUP(Table23[[#This Row],[SNR]],Deelnemers[#Data],7,0),0)&lt;&gt;$C$4,"Loopt niet in deze groep!",IF(COUNTIF(Table23[SNR],Table23[[#This Row],[SNR]])&gt;1,"Dubbel",""))</f>
        <v/>
      </c>
    </row>
    <row r="10" spans="1:17" x14ac:dyDescent="0.2">
      <c r="A10">
        <f>IFERROR(VLOOKUP(Table23[[#This Row],[SNR]],Deelnemers[#Data],2,0),"")</f>
        <v>176850</v>
      </c>
      <c r="B10">
        <f>IF(VLOOKUP(Table23[[#This Row],[SNR]],Deelnemers[#Data],8,0)&gt;0,"BM",IF(Table23[[#This Row],[Score]]="Disk",0,MATCH(Table23[[#This Row],[Sorteren]],Table23[Sorteren],0)-COUNTIF($B$7:$B9,"BM")))</f>
        <v>3</v>
      </c>
      <c r="D10" t="str">
        <f>IFERROR(VLOOKUP(Table23[[#This Row],[SNR]],Deelnemers[#Data],3,0),"")</f>
        <v>Christina Smit</v>
      </c>
      <c r="E10" t="str">
        <f>IFERROR(VLOOKUP(Table23[[#This Row],[SNR]],Deelnemers[#Data],4,0),"")</f>
        <v>Kennie</v>
      </c>
      <c r="F10" t="str">
        <f>IFERROR(VLOOKUP(Table23[[#This Row],[SNR]],Deelnemers[#Data],6,0),"")</f>
        <v>Shetland Sheepdog</v>
      </c>
      <c r="G10" s="9">
        <v>7</v>
      </c>
      <c r="H10" s="9">
        <v>35.54</v>
      </c>
      <c r="I10" s="9"/>
      <c r="J10" s="9"/>
      <c r="K10" s="9"/>
      <c r="L10" s="9"/>
      <c r="M10">
        <f>IF(OR(ISNUMBER(SEARCH("Jumping", $C$5)),ISNUMBER(SEARCH("Vast Parcours", $C$5)), ISNUMBER(SEARCH("NKT", $C$5))),IF(OR(Table23[[#This Row],[Disk]]&gt;0,Table23[[#This Row],[W]]&gt;=3,Table23[[#This Row],[Tijd]]&gt;$F$3),"Disk",IF(ISBLANK(Table23[[#This Row],[Tijd]]),"",Table23[[#This Row],[Fouten]]+MAX(0,Table23[[#This Row],[Tijd]]-$F$2))),"-")</f>
        <v>0.53999999999999915</v>
      </c>
      <c r="N10">
        <f>IFERROR(PRODUCT($F$4,1/Table23[[#This Row],[Tijd]]),0)</f>
        <v>3.911086100168824</v>
      </c>
      <c r="O10">
        <f>SUM(Table23[[#This Row],[W]],Table23[[#This Row],[A]],Table23[[#This Row],[F]])*5</f>
        <v>0</v>
      </c>
      <c r="P10" t="str">
        <f>TEXT(Table23[[#This Row],[Score]],"00,00")&amp;TEXT(Table23[[#This Row],[Fouten]],"00")&amp;TEXT(Table23[[#This Row],[Tijd]],"00,000")</f>
        <v>00,540035,540</v>
      </c>
      <c r="Q10" t="str">
        <f>IF(IFERROR(VLOOKUP(Table23[[#This Row],[SNR]],Deelnemers[#Data],7,0),0)&lt;&gt;$C$4,"Loopt niet in deze groep!",IF(COUNTIF(Table23[SNR],Table23[[#This Row],[SNR]])&gt;1,"Dubbel",""))</f>
        <v/>
      </c>
    </row>
    <row r="11" spans="1:17" x14ac:dyDescent="0.2">
      <c r="A11">
        <f>IFERROR(VLOOKUP(Table23[[#This Row],[SNR]],Deelnemers[#Data],2,0),"")</f>
        <v>142271</v>
      </c>
      <c r="B11">
        <f>IF(VLOOKUP(Table23[[#This Row],[SNR]],Deelnemers[#Data],8,0)&gt;0,"BM",IF(Table23[[#This Row],[Score]]="Disk",0,MATCH(Table23[[#This Row],[Sorteren]],Table23[Sorteren],0)-COUNTIF($B$7:$B10,"BM")))</f>
        <v>4</v>
      </c>
      <c r="D11" t="str">
        <f>IFERROR(VLOOKUP(Table23[[#This Row],[SNR]],Deelnemers[#Data],3,0),"")</f>
        <v>Joke van der Molen</v>
      </c>
      <c r="E11" t="str">
        <f>IFERROR(VLOOKUP(Table23[[#This Row],[SNR]],Deelnemers[#Data],4,0),"")</f>
        <v>Vita</v>
      </c>
      <c r="F11" t="str">
        <f>IFERROR(VLOOKUP(Table23[[#This Row],[SNR]],Deelnemers[#Data],6,0),"")</f>
        <v>Hollandse Smoushond</v>
      </c>
      <c r="G11" s="9">
        <v>12</v>
      </c>
      <c r="H11" s="9">
        <v>36.64</v>
      </c>
      <c r="I11" s="9"/>
      <c r="J11" s="9"/>
      <c r="K11" s="9"/>
      <c r="L11" s="9"/>
      <c r="M11">
        <f>IF(OR(ISNUMBER(SEARCH("Jumping", $C$5)),ISNUMBER(SEARCH("Vast Parcours", $C$5)), ISNUMBER(SEARCH("NKT", $C$5))),IF(OR(Table23[[#This Row],[Disk]]&gt;0,Table23[[#This Row],[W]]&gt;=3,Table23[[#This Row],[Tijd]]&gt;$F$3),"Disk",IF(ISBLANK(Table23[[#This Row],[Tijd]]),"",Table23[[#This Row],[Fouten]]+MAX(0,Table23[[#This Row],[Tijd]]-$F$2))),"-")</f>
        <v>1.6400000000000006</v>
      </c>
      <c r="N11">
        <f>IFERROR(PRODUCT($F$4,1/Table23[[#This Row],[Tijd]]),0)</f>
        <v>3.7936681222707427</v>
      </c>
      <c r="O11">
        <f>SUM(Table23[[#This Row],[W]],Table23[[#This Row],[A]],Table23[[#This Row],[F]])*5</f>
        <v>0</v>
      </c>
      <c r="P11" t="str">
        <f>TEXT(Table23[[#This Row],[Score]],"00,00")&amp;TEXT(Table23[[#This Row],[Fouten]],"00")&amp;TEXT(Table23[[#This Row],[Tijd]],"00,000")</f>
        <v>01,640036,640</v>
      </c>
      <c r="Q11" t="str">
        <f>IF(IFERROR(VLOOKUP(Table23[[#This Row],[SNR]],Deelnemers[#Data],7,0),0)&lt;&gt;$C$4,"Loopt niet in deze groep!",IF(COUNTIF(Table23[SNR],Table23[[#This Row],[SNR]])&gt;1,"Dubbel",""))</f>
        <v/>
      </c>
    </row>
    <row r="12" spans="1:17" x14ac:dyDescent="0.2">
      <c r="A12">
        <f>IFERROR(VLOOKUP(Table23[[#This Row],[SNR]],Deelnemers[#Data],2,0),"")</f>
        <v>423117</v>
      </c>
      <c r="B12">
        <f>IF(VLOOKUP(Table23[[#This Row],[SNR]],Deelnemers[#Data],8,0)&gt;0,"BM",IF(Table23[[#This Row],[Score]]="Disk",0,MATCH(Table23[[#This Row],[Sorteren]],Table23[Sorteren],0)-COUNTIF($B$7:$B11,"BM")))</f>
        <v>5</v>
      </c>
      <c r="D12" t="str">
        <f>IFERROR(VLOOKUP(Table23[[#This Row],[SNR]],Deelnemers[#Data],3,0),"")</f>
        <v>Nicky Spengler</v>
      </c>
      <c r="E12" t="str">
        <f>IFERROR(VLOOKUP(Table23[[#This Row],[SNR]],Deelnemers[#Data],4,0),"")</f>
        <v>Nalan</v>
      </c>
      <c r="F12" t="str">
        <f>IFERROR(VLOOKUP(Table23[[#This Row],[SNR]],Deelnemers[#Data],6,0),"")</f>
        <v>Shetland Sheepdog</v>
      </c>
      <c r="G12">
        <v>8</v>
      </c>
      <c r="H12">
        <v>35.799999999999997</v>
      </c>
      <c r="I12">
        <v>1</v>
      </c>
      <c r="M12">
        <f>IF(OR(ISNUMBER(SEARCH("Jumping", $C$5)),ISNUMBER(SEARCH("Vast Parcours", $C$5)), ISNUMBER(SEARCH("NKT", $C$5))),IF(OR(Table23[[#This Row],[Disk]]&gt;0,Table23[[#This Row],[W]]&gt;=3,Table23[[#This Row],[Tijd]]&gt;$F$3),"Disk",IF(ISBLANK(Table23[[#This Row],[Tijd]]),"",Table23[[#This Row],[Fouten]]+MAX(0,Table23[[#This Row],[Tijd]]-$F$2))),"-")</f>
        <v>5.7999999999999972</v>
      </c>
      <c r="N12">
        <f>IFERROR(PRODUCT($F$4,1/Table23[[#This Row],[Tijd]]),0)</f>
        <v>3.8826815642458103</v>
      </c>
      <c r="O12">
        <f>SUM(Table23[[#This Row],[W]],Table23[[#This Row],[A]],Table23[[#This Row],[F]])*5</f>
        <v>5</v>
      </c>
      <c r="P12" t="str">
        <f>TEXT(Table23[[#This Row],[Score]],"00,00")&amp;TEXT(Table23[[#This Row],[Fouten]],"00")&amp;TEXT(Table23[[#This Row],[Tijd]],"00,000")</f>
        <v>05,800535,800</v>
      </c>
      <c r="Q12" t="str">
        <f>IF(IFERROR(VLOOKUP(Table23[[#This Row],[SNR]],Deelnemers[#Data],7,0),0)&lt;&gt;$C$4,"Loopt niet in deze groep!",IF(COUNTIF(Table23[SNR],Table23[[#This Row],[SNR]])&gt;1,"Dubbel",""))</f>
        <v/>
      </c>
    </row>
    <row r="13" spans="1:17" x14ac:dyDescent="0.2">
      <c r="A13">
        <f>IFERROR(VLOOKUP(Table23[[#This Row],[SNR]],Deelnemers[#Data],2,0),"")</f>
        <v>145157</v>
      </c>
      <c r="B13">
        <f>IF(VLOOKUP(Table23[[#This Row],[SNR]],Deelnemers[#Data],8,0)&gt;0,"BM",IF(Table23[[#This Row],[Score]]="Disk",0,MATCH(Table23[[#This Row],[Sorteren]],Table23[Sorteren],0)-COUNTIF($B$7:$B12,"BM")))</f>
        <v>0</v>
      </c>
      <c r="D13" t="str">
        <f>IFERROR(VLOOKUP(Table23[[#This Row],[SNR]],Deelnemers[#Data],3,0),"")</f>
        <v>Bianca Jansen</v>
      </c>
      <c r="E13" t="str">
        <f>IFERROR(VLOOKUP(Table23[[#This Row],[SNR]],Deelnemers[#Data],4,0),"")</f>
        <v>Fynny</v>
      </c>
      <c r="F13" t="str">
        <f>IFERROR(VLOOKUP(Table23[[#This Row],[SNR]],Deelnemers[#Data],6,0),"")</f>
        <v>Pumi</v>
      </c>
      <c r="G13" s="9">
        <v>10</v>
      </c>
      <c r="H13" s="9"/>
      <c r="I13" s="9"/>
      <c r="J13" s="9"/>
      <c r="K13" s="9"/>
      <c r="L13" s="9" t="s">
        <v>326</v>
      </c>
      <c r="M13" t="str">
        <f>IF(OR(ISNUMBER(SEARCH("Jumping", $C$5)),ISNUMBER(SEARCH("Vast Parcours", $C$5)), ISNUMBER(SEARCH("NKT", $C$5))),IF(OR(Table23[[#This Row],[Disk]]&gt;0,Table23[[#This Row],[W]]&gt;=3,Table23[[#This Row],[Tijd]]&gt;$F$3),"Disk",IF(ISBLANK(Table23[[#This Row],[Tijd]]),"",Table23[[#This Row],[Fouten]]+MAX(0,Table23[[#This Row],[Tijd]]-$F$2))),"-")</f>
        <v>Disk</v>
      </c>
      <c r="N13">
        <f>IFERROR(PRODUCT($F$4,1/Table23[[#This Row],[Tijd]]),0)</f>
        <v>0</v>
      </c>
      <c r="O13">
        <f>SUM(Table23[[#This Row],[W]],Table23[[#This Row],[A]],Table23[[#This Row],[F]])*5</f>
        <v>0</v>
      </c>
      <c r="P13" t="str">
        <f>TEXT(Table23[[#This Row],[Score]],"00,00")&amp;TEXT(Table23[[#This Row],[Fouten]],"00")&amp;TEXT(Table23[[#This Row],[Tijd]],"00,000")</f>
        <v>Disk0000,000</v>
      </c>
      <c r="Q13" t="str">
        <f>IF(IFERROR(VLOOKUP(Table23[[#This Row],[SNR]],Deelnemers[#Data],7,0),0)&lt;&gt;$C$4,"Loopt niet in deze groep!",IF(COUNTIF(Table23[SNR],Table23[[#This Row],[SNR]])&gt;1,"Dubbel",""))</f>
        <v/>
      </c>
    </row>
    <row r="14" spans="1:17" x14ac:dyDescent="0.2">
      <c r="A14">
        <f>IFERROR(VLOOKUP(Table23[[#This Row],[SNR]],Deelnemers[#Data],2,0),"")</f>
        <v>422447</v>
      </c>
      <c r="B14">
        <f>IF(VLOOKUP(Table23[[#This Row],[SNR]],Deelnemers[#Data],8,0)&gt;0,"BM",IF(Table23[[#This Row],[Score]]="Disk",0,MATCH(Table23[[#This Row],[Sorteren]],Table23[Sorteren],0)-COUNTIF($B$7:$B13,"BM")))</f>
        <v>0</v>
      </c>
      <c r="D14" t="str">
        <f>IFERROR(VLOOKUP(Table23[[#This Row],[SNR]],Deelnemers[#Data],3,0),"")</f>
        <v>Gisèle Kdise</v>
      </c>
      <c r="E14" t="str">
        <f>IFERROR(VLOOKUP(Table23[[#This Row],[SNR]],Deelnemers[#Data],4,0),"")</f>
        <v>Holly</v>
      </c>
      <c r="F14" t="str">
        <f>IFERROR(VLOOKUP(Table23[[#This Row],[SNR]],Deelnemers[#Data],6,0),"")</f>
        <v>Kooikerhondje</v>
      </c>
      <c r="G14" s="9">
        <v>11</v>
      </c>
      <c r="H14" s="9"/>
      <c r="I14" s="9"/>
      <c r="J14" s="9"/>
      <c r="K14" s="9"/>
      <c r="L14" s="9" t="s">
        <v>326</v>
      </c>
      <c r="M14" t="str">
        <f>IF(OR(ISNUMBER(SEARCH("Jumping", $C$5)),ISNUMBER(SEARCH("Vast Parcours", $C$5)), ISNUMBER(SEARCH("NKT", $C$5))),IF(OR(Table23[[#This Row],[Disk]]&gt;0,Table23[[#This Row],[W]]&gt;=3,Table23[[#This Row],[Tijd]]&gt;$F$3),"Disk",IF(ISBLANK(Table23[[#This Row],[Tijd]]),"",Table23[[#This Row],[Fouten]]+MAX(0,Table23[[#This Row],[Tijd]]-$F$2))),"-")</f>
        <v>Disk</v>
      </c>
      <c r="N14">
        <f>IFERROR(PRODUCT($F$4,1/Table23[[#This Row],[Tijd]]),0)</f>
        <v>0</v>
      </c>
      <c r="O14">
        <f>SUM(Table23[[#This Row],[W]],Table23[[#This Row],[A]],Table23[[#This Row],[F]])*5</f>
        <v>0</v>
      </c>
      <c r="P14" t="str">
        <f>TEXT(Table23[[#This Row],[Score]],"00,00")&amp;TEXT(Table23[[#This Row],[Fouten]],"00")&amp;TEXT(Table23[[#This Row],[Tijd]],"00,000")</f>
        <v>Disk0000,000</v>
      </c>
      <c r="Q14" t="str">
        <f>IF(IFERROR(VLOOKUP(Table23[[#This Row],[SNR]],Deelnemers[#Data],7,0),0)&lt;&gt;$C$4,"Loopt niet in deze groep!",IF(COUNTIF(Table23[SNR],Table23[[#This Row],[SNR]])&gt;1,"Dubbel",""))</f>
        <v/>
      </c>
    </row>
    <row r="15" spans="1:17" x14ac:dyDescent="0.2">
      <c r="A15">
        <f>IFERROR(VLOOKUP(Table23[[#This Row],[SNR]],Deelnemers[#Data],2,0),"")</f>
        <v>154539</v>
      </c>
      <c r="B15">
        <f>IF(VLOOKUP(Table23[[#This Row],[SNR]],Deelnemers[#Data],8,0)&gt;0,"BM",IF(Table23[[#This Row],[Score]]="Disk",0,MATCH(Table23[[#This Row],[Sorteren]],Table23[Sorteren],0)-COUNTIF($B$7:$B14,"BM")))</f>
        <v>0</v>
      </c>
      <c r="D15" t="str">
        <f>IFERROR(VLOOKUP(Table23[[#This Row],[SNR]],Deelnemers[#Data],3,0),"")</f>
        <v>Nicky Spengler</v>
      </c>
      <c r="E15" t="str">
        <f>IFERROR(VLOOKUP(Table23[[#This Row],[SNR]],Deelnemers[#Data],4,0),"")</f>
        <v>Darby</v>
      </c>
      <c r="F15" t="str">
        <f>IFERROR(VLOOKUP(Table23[[#This Row],[SNR]],Deelnemers[#Data],6,0),"")</f>
        <v>Shetland Sheepdog</v>
      </c>
      <c r="G15" s="9">
        <v>13</v>
      </c>
      <c r="H15" s="9"/>
      <c r="I15" s="9"/>
      <c r="J15" s="9"/>
      <c r="K15" s="9"/>
      <c r="L15" s="9" t="s">
        <v>326</v>
      </c>
      <c r="M15" t="str">
        <f>IF(OR(ISNUMBER(SEARCH("Jumping", $C$5)),ISNUMBER(SEARCH("Vast Parcours", $C$5)), ISNUMBER(SEARCH("NKT", $C$5))),IF(OR(Table23[[#This Row],[Disk]]&gt;0,Table23[[#This Row],[W]]&gt;=3,Table23[[#This Row],[Tijd]]&gt;$F$3),"Disk",IF(ISBLANK(Table23[[#This Row],[Tijd]]),"",Table23[[#This Row],[Fouten]]+MAX(0,Table23[[#This Row],[Tijd]]-$F$2))),"-")</f>
        <v>Disk</v>
      </c>
      <c r="N15">
        <f>IFERROR(PRODUCT($F$4,1/Table23[[#This Row],[Tijd]]),0)</f>
        <v>0</v>
      </c>
      <c r="O15">
        <f>SUM(Table23[[#This Row],[W]],Table23[[#This Row],[A]],Table23[[#This Row],[F]])*5</f>
        <v>0</v>
      </c>
      <c r="P15" t="str">
        <f>TEXT(Table23[[#This Row],[Score]],"00,00")&amp;TEXT(Table23[[#This Row],[Fouten]],"00")&amp;TEXT(Table23[[#This Row],[Tijd]],"00,000")</f>
        <v>Disk0000,000</v>
      </c>
      <c r="Q15" t="str">
        <f>IF(IFERROR(VLOOKUP(Table23[[#This Row],[SNR]],Deelnemers[#Data],7,0),0)&lt;&gt;$C$4,"Loopt niet in deze groep!",IF(COUNTIF(Table23[SNR],Table23[[#This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2:F4">
    <cfRule type="containsBlanks" dxfId="46" priority="2">
      <formula>LEN(TRIM(F2))=0</formula>
    </cfRule>
  </conditionalFormatting>
  <conditionalFormatting sqref="F1">
    <cfRule type="containsBlanks" dxfId="45" priority="1">
      <formula>LEN(TRIM(F1))=0</formula>
    </cfRule>
  </conditionalFormatting>
  <dataValidations count="2">
    <dataValidation type="list" allowBlank="1" showInputMessage="1" showErrorMessage="1" sqref="C4" xr:uid="{00000000-0002-0000-1700-000000000000}">
      <formula1>GroepLijst</formula1>
    </dataValidation>
    <dataValidation type="list" allowBlank="1" showInputMessage="1" showErrorMessage="1" sqref="F1" xr:uid="{6C6ED0A3-DD3E-B641-ACA8-C33AC5828A18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15"/>
  <sheetViews>
    <sheetView workbookViewId="0">
      <selection activeCell="I15" sqref="I15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7">
        <v>46</v>
      </c>
      <c r="G2" t="s">
        <v>308</v>
      </c>
      <c r="H2" s="12" t="str">
        <f>$C$4</f>
        <v>3ᵉ graad Medium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7">
        <v>70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7</v>
      </c>
      <c r="D4" s="13"/>
      <c r="E4" t="s">
        <v>310</v>
      </c>
      <c r="F4" s="7">
        <v>176</v>
      </c>
      <c r="G4" t="s">
        <v>311</v>
      </c>
      <c r="H4" s="12" t="str">
        <f>$C$5</f>
        <v>Vast Parcours 1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324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IFERROR(VLOOKUP(Table24[[#This Row],[SNR]],Deelnemers[#Data],2,0),"")</f>
        <v>411891</v>
      </c>
      <c r="B8">
        <f>IF(VLOOKUP(Table24[[#This Row],[SNR]],Deelnemers[#Data],8,0)&gt;0,"BM",IF(Table24[[#This Row],[Score]]="Disk",0,MATCH(Table24[[#This Row],[Sorteren]],Table24[Sorteren],0)-COUNTIF($B$7:$B7,"BM")))</f>
        <v>1</v>
      </c>
      <c r="D8" t="str">
        <f>IFERROR(VLOOKUP(Table24[[#This Row],[SNR]],Deelnemers[#Data],3,0),"")</f>
        <v>Mariën Balt</v>
      </c>
      <c r="E8" t="str">
        <f>IFERROR(VLOOKUP(Table24[[#This Row],[SNR]],Deelnemers[#Data],4,0),"")</f>
        <v>Zyzo</v>
      </c>
      <c r="F8" t="str">
        <f>IFERROR(VLOOKUP(Table24[[#This Row],[SNR]],Deelnemers[#Data],6,0),"")</f>
        <v>rasloos</v>
      </c>
      <c r="G8" s="4">
        <v>9</v>
      </c>
      <c r="H8" s="4">
        <v>43.1</v>
      </c>
      <c r="I8" s="4"/>
      <c r="J8" s="4"/>
      <c r="K8" s="4"/>
      <c r="L8" s="4"/>
      <c r="M8">
        <f>IF(OR(ISNUMBER(SEARCH("Jumping", $C$5)),ISNUMBER(SEARCH("Vast Parcours", $C$5)), ISNUMBER(SEARCH("NKT", $C$5))),IF(OR(Table24[[#This Row],[Disk]]&gt;0,Table24[[#This Row],[W]]&gt;=3,Table24[[#This Row],[Tijd]]&gt;$F$3),"Disk",IF(ISBLANK(Table24[[#This Row],[Tijd]]),"",Table24[[#This Row],[Fouten]]+MAX(0,Table24[[#This Row],[Tijd]]-$F$2))),"-")</f>
        <v>0</v>
      </c>
      <c r="N8">
        <f>IFERROR(PRODUCT($F$4,1/Table24[[#This Row],[Tijd]]),0)</f>
        <v>4.0835266821345702</v>
      </c>
      <c r="O8">
        <f>SUM(Table24[[#This Row],[W]],Table24[[#This Row],[A]],Table24[[#This Row],[F]])*5</f>
        <v>0</v>
      </c>
      <c r="P8" t="str">
        <f>TEXT(Table24[[#This Row],[Score]],"00,00")&amp;TEXT(Table24[[#This Row],[Fouten]],"00")&amp;TEXT(Table24[[#This Row],[Tijd]],"00,000")</f>
        <v>00,000043,100</v>
      </c>
      <c r="Q8" t="str">
        <f>IF(IFERROR(VLOOKUP(Table24[[#This Row],[SNR]],Deelnemers[#Data],7,0),0)&lt;&gt;$C$4,"Loopt niet in deze groep!",IF(COUNTIF(Table24[SNR],Table24[[#This Row],[SNR]])&gt;1,"Dubbel",""))</f>
        <v/>
      </c>
    </row>
    <row r="9" spans="1:17" x14ac:dyDescent="0.2">
      <c r="A9">
        <f>IFERROR(VLOOKUP(Table24[[#This Row],[SNR]],Deelnemers[#Data],2,0),"")</f>
        <v>403602</v>
      </c>
      <c r="B9">
        <f>IF(VLOOKUP(Table24[[#This Row],[SNR]],Deelnemers[#Data],8,0)&gt;0,"BM",IF(Table24[[#This Row],[Score]]="Disk",0,MATCH(Table24[[#This Row],[Sorteren]],Table24[Sorteren],0)-COUNTIF($B$7:$B8,"BM")))</f>
        <v>2</v>
      </c>
      <c r="D9" t="str">
        <f>IFERROR(VLOOKUP(Table24[[#This Row],[SNR]],Deelnemers[#Data],3,0),"")</f>
        <v>Eerjan de Bruijn</v>
      </c>
      <c r="E9" t="str">
        <f>IFERROR(VLOOKUP(Table24[[#This Row],[SNR]],Deelnemers[#Data],4,0),"")</f>
        <v>Laika</v>
      </c>
      <c r="F9" t="str">
        <f>IFERROR(VLOOKUP(Table24[[#This Row],[SNR]],Deelnemers[#Data],6,0),"")</f>
        <v>Shetland Sheepdog</v>
      </c>
      <c r="G9" s="4">
        <v>121</v>
      </c>
      <c r="H9" s="4">
        <v>43.68</v>
      </c>
      <c r="I9" s="4"/>
      <c r="J9" s="4"/>
      <c r="K9" s="4"/>
      <c r="L9" s="4"/>
      <c r="M9">
        <f>IF(OR(ISNUMBER(SEARCH("Jumping", $C$5)),ISNUMBER(SEARCH("Vast Parcours", $C$5)), ISNUMBER(SEARCH("NKT", $C$5))),IF(OR(Table24[[#This Row],[Disk]]&gt;0,Table24[[#This Row],[W]]&gt;=3,Table24[[#This Row],[Tijd]]&gt;$F$3),"Disk",IF(ISBLANK(Table24[[#This Row],[Tijd]]),"",Table24[[#This Row],[Fouten]]+MAX(0,Table24[[#This Row],[Tijd]]-$F$2))),"-")</f>
        <v>0</v>
      </c>
      <c r="N9">
        <f>IFERROR(PRODUCT($F$4,1/Table24[[#This Row],[Tijd]]),0)</f>
        <v>4.0293040293040292</v>
      </c>
      <c r="O9">
        <f>SUM(Table24[[#This Row],[W]],Table24[[#This Row],[A]],Table24[[#This Row],[F]])*5</f>
        <v>0</v>
      </c>
      <c r="P9" t="str">
        <f>TEXT(Table24[[#This Row],[Score]],"00,00")&amp;TEXT(Table24[[#This Row],[Fouten]],"00")&amp;TEXT(Table24[[#This Row],[Tijd]],"00,000")</f>
        <v>00,000043,680</v>
      </c>
      <c r="Q9" t="str">
        <f>IF(IFERROR(VLOOKUP(Table24[[#This Row],[SNR]],Deelnemers[#Data],7,0),0)&lt;&gt;$C$4,"Loopt niet in deze groep!",IF(COUNTIF(Table24[SNR],Table24[[#This Row],[SNR]])&gt;1,"Dubbel",""))</f>
        <v/>
      </c>
    </row>
    <row r="10" spans="1:17" x14ac:dyDescent="0.2">
      <c r="A10">
        <f>IFERROR(VLOOKUP(Table24[[#This Row],[SNR]],Deelnemers[#Data],2,0),"")</f>
        <v>142271</v>
      </c>
      <c r="B10">
        <f>IF(VLOOKUP(Table24[[#This Row],[SNR]],Deelnemers[#Data],8,0)&gt;0,"BM",IF(Table24[[#This Row],[Score]]="Disk",0,MATCH(Table24[[#This Row],[Sorteren]],Table24[Sorteren],0)-COUNTIF($B$7:$B9,"BM")))</f>
        <v>3</v>
      </c>
      <c r="D10" t="str">
        <f>IFERROR(VLOOKUP(Table24[[#This Row],[SNR]],Deelnemers[#Data],3,0),"")</f>
        <v>Joke van der Molen</v>
      </c>
      <c r="E10" t="str">
        <f>IFERROR(VLOOKUP(Table24[[#This Row],[SNR]],Deelnemers[#Data],4,0),"")</f>
        <v>Vita</v>
      </c>
      <c r="F10" t="str">
        <f>IFERROR(VLOOKUP(Table24[[#This Row],[SNR]],Deelnemers[#Data],6,0),"")</f>
        <v>Hollandse Smoushond</v>
      </c>
      <c r="G10" s="4">
        <v>12</v>
      </c>
      <c r="H10" s="4">
        <v>47.08</v>
      </c>
      <c r="I10" s="4"/>
      <c r="J10" s="4"/>
      <c r="K10" s="4"/>
      <c r="L10" s="4"/>
      <c r="M10">
        <f>IF(OR(ISNUMBER(SEARCH("Jumping", $C$5)),ISNUMBER(SEARCH("Vast Parcours", $C$5)), ISNUMBER(SEARCH("NKT", $C$5))),IF(OR(Table24[[#This Row],[Disk]]&gt;0,Table24[[#This Row],[W]]&gt;=3,Table24[[#This Row],[Tijd]]&gt;$F$3),"Disk",IF(ISBLANK(Table24[[#This Row],[Tijd]]),"",Table24[[#This Row],[Fouten]]+MAX(0,Table24[[#This Row],[Tijd]]-$F$2))),"-")</f>
        <v>1.0799999999999983</v>
      </c>
      <c r="N10">
        <f>IFERROR(PRODUCT($F$4,1/Table24[[#This Row],[Tijd]]),0)</f>
        <v>3.7383177570093458</v>
      </c>
      <c r="O10">
        <f>SUM(Table24[[#This Row],[W]],Table24[[#This Row],[A]],Table24[[#This Row],[F]])*5</f>
        <v>0</v>
      </c>
      <c r="P10" t="str">
        <f>TEXT(Table24[[#This Row],[Score]],"00,00")&amp;TEXT(Table24[[#This Row],[Fouten]],"00")&amp;TEXT(Table24[[#This Row],[Tijd]],"00,000")</f>
        <v>01,080047,080</v>
      </c>
      <c r="Q10" t="str">
        <f>IF(IFERROR(VLOOKUP(Table24[[#This Row],[SNR]],Deelnemers[#Data],7,0),0)&lt;&gt;$C$4,"Loopt niet in deze groep!",IF(COUNTIF(Table24[SNR],Table24[[#This Row],[SNR]])&gt;1,"Dubbel",""))</f>
        <v/>
      </c>
    </row>
    <row r="11" spans="1:17" x14ac:dyDescent="0.2">
      <c r="A11">
        <f>IFERROR(VLOOKUP(Table24[[#This Row],[SNR]],Deelnemers[#Data],2,0),"")</f>
        <v>176850</v>
      </c>
      <c r="B11">
        <f>IF(VLOOKUP(Table24[[#This Row],[SNR]],Deelnemers[#Data],8,0)&gt;0,"BM",IF(Table24[[#This Row],[Score]]="Disk",0,MATCH(Table24[[#This Row],[Sorteren]],Table24[Sorteren],0)-COUNTIF($B$7:$B10,"BM")))</f>
        <v>4</v>
      </c>
      <c r="D11" t="str">
        <f>IFERROR(VLOOKUP(Table24[[#This Row],[SNR]],Deelnemers[#Data],3,0),"")</f>
        <v>Christina Smit</v>
      </c>
      <c r="E11" t="str">
        <f>IFERROR(VLOOKUP(Table24[[#This Row],[SNR]],Deelnemers[#Data],4,0),"")</f>
        <v>Kennie</v>
      </c>
      <c r="F11" t="str">
        <f>IFERROR(VLOOKUP(Table24[[#This Row],[SNR]],Deelnemers[#Data],6,0),"")</f>
        <v>Shetland Sheepdog</v>
      </c>
      <c r="G11" s="4">
        <v>7</v>
      </c>
      <c r="H11" s="4">
        <v>48.56</v>
      </c>
      <c r="I11" s="4"/>
      <c r="J11" s="4"/>
      <c r="K11" s="4">
        <v>1</v>
      </c>
      <c r="L11" s="4"/>
      <c r="M11">
        <f>IF(OR(ISNUMBER(SEARCH("Jumping", $C$5)),ISNUMBER(SEARCH("Vast Parcours", $C$5)), ISNUMBER(SEARCH("NKT", $C$5))),IF(OR(Table24[[#This Row],[Disk]]&gt;0,Table24[[#This Row],[W]]&gt;=3,Table24[[#This Row],[Tijd]]&gt;$F$3),"Disk",IF(ISBLANK(Table24[[#This Row],[Tijd]]),"",Table24[[#This Row],[Fouten]]+MAX(0,Table24[[#This Row],[Tijd]]-$F$2))),"-")</f>
        <v>7.5600000000000023</v>
      </c>
      <c r="N11">
        <f>IFERROR(PRODUCT($F$4,1/Table24[[#This Row],[Tijd]]),0)</f>
        <v>3.6243822075782535</v>
      </c>
      <c r="O11">
        <f>SUM(Table24[[#This Row],[W]],Table24[[#This Row],[A]],Table24[[#This Row],[F]])*5</f>
        <v>5</v>
      </c>
      <c r="P11" t="str">
        <f>TEXT(Table24[[#This Row],[Score]],"00,00")&amp;TEXT(Table24[[#This Row],[Fouten]],"00")&amp;TEXT(Table24[[#This Row],[Tijd]],"00,000")</f>
        <v>07,560548,560</v>
      </c>
      <c r="Q11" t="str">
        <f>IF(IFERROR(VLOOKUP(Table24[[#This Row],[SNR]],Deelnemers[#Data],7,0),0)&lt;&gt;$C$4,"Loopt niet in deze groep!",IF(COUNTIF(Table24[SNR],Table24[[#This Row],[SNR]])&gt;1,"Dubbel",""))</f>
        <v/>
      </c>
    </row>
    <row r="12" spans="1:17" x14ac:dyDescent="0.2">
      <c r="A12">
        <f>IFERROR(VLOOKUP(Table24[[#This Row],[SNR]],Deelnemers[#Data],2,0),"")</f>
        <v>154539</v>
      </c>
      <c r="B12">
        <f>IF(VLOOKUP(Table24[[#This Row],[SNR]],Deelnemers[#Data],8,0)&gt;0,"BM",IF(Table24[[#This Row],[Score]]="Disk",0,MATCH(Table24[[#This Row],[Sorteren]],Table24[Sorteren],0)-COUNTIF($B$7:$B11,"BM")))</f>
        <v>5</v>
      </c>
      <c r="D12" t="str">
        <f>IFERROR(VLOOKUP(Table24[[#This Row],[SNR]],Deelnemers[#Data],3,0),"")</f>
        <v>Nicky Spengler</v>
      </c>
      <c r="E12" t="str">
        <f>IFERROR(VLOOKUP(Table24[[#This Row],[SNR]],Deelnemers[#Data],4,0),"")</f>
        <v>Darby</v>
      </c>
      <c r="F12" t="str">
        <f>IFERROR(VLOOKUP(Table24[[#This Row],[SNR]],Deelnemers[#Data],6,0),"")</f>
        <v>Shetland Sheepdog</v>
      </c>
      <c r="G12" s="4">
        <v>13</v>
      </c>
      <c r="H12" s="4">
        <v>40.520000000000003</v>
      </c>
      <c r="I12" s="4"/>
      <c r="J12" s="4"/>
      <c r="K12" s="4">
        <v>2</v>
      </c>
      <c r="L12" s="4"/>
      <c r="M12">
        <f>IF(OR(ISNUMBER(SEARCH("Jumping", $C$5)),ISNUMBER(SEARCH("Vast Parcours", $C$5)), ISNUMBER(SEARCH("NKT", $C$5))),IF(OR(Table24[[#This Row],[Disk]]&gt;0,Table24[[#This Row],[W]]&gt;=3,Table24[[#This Row],[Tijd]]&gt;$F$3),"Disk",IF(ISBLANK(Table24[[#This Row],[Tijd]]),"",Table24[[#This Row],[Fouten]]+MAX(0,Table24[[#This Row],[Tijd]]-$F$2))),"-")</f>
        <v>10</v>
      </c>
      <c r="N12">
        <f>IFERROR(PRODUCT($F$4,1/Table24[[#This Row],[Tijd]]),0)</f>
        <v>4.3435340572556758</v>
      </c>
      <c r="O12">
        <f>SUM(Table24[[#This Row],[W]],Table24[[#This Row],[A]],Table24[[#This Row],[F]])*5</f>
        <v>10</v>
      </c>
      <c r="P12" t="str">
        <f>TEXT(Table24[[#This Row],[Score]],"00,00")&amp;TEXT(Table24[[#This Row],[Fouten]],"00")&amp;TEXT(Table24[[#This Row],[Tijd]],"00,000")</f>
        <v>10,001040,520</v>
      </c>
      <c r="Q12" t="str">
        <f>IF(IFERROR(VLOOKUP(Table24[[#This Row],[SNR]],Deelnemers[#Data],7,0),0)&lt;&gt;$C$4,"Loopt niet in deze groep!",IF(COUNTIF(Table24[SNR],Table24[[#This Row],[SNR]])&gt;1,"Dubbel",""))</f>
        <v/>
      </c>
    </row>
    <row r="13" spans="1:17" x14ac:dyDescent="0.2">
      <c r="A13">
        <f>IFERROR(VLOOKUP(Table24[[#This Row],[SNR]],Deelnemers[#Data],2,0),"")</f>
        <v>423117</v>
      </c>
      <c r="B13">
        <f>IF(VLOOKUP(Table24[[#This Row],[SNR]],Deelnemers[#Data],8,0)&gt;0,"BM",IF(Table24[[#This Row],[Score]]="Disk",0,MATCH(Table24[[#This Row],[Sorteren]],Table24[Sorteren],0)-COUNTIF($B$7:$B12,"BM")))</f>
        <v>6</v>
      </c>
      <c r="D13" t="str">
        <f>IFERROR(VLOOKUP(Table24[[#This Row],[SNR]],Deelnemers[#Data],3,0),"")</f>
        <v>Nicky Spengler</v>
      </c>
      <c r="E13" t="str">
        <f>IFERROR(VLOOKUP(Table24[[#This Row],[SNR]],Deelnemers[#Data],4,0),"")</f>
        <v>Nalan</v>
      </c>
      <c r="F13" t="str">
        <f>IFERROR(VLOOKUP(Table24[[#This Row],[SNR]],Deelnemers[#Data],6,0),"")</f>
        <v>Shetland Sheepdog</v>
      </c>
      <c r="G13" s="4">
        <v>8</v>
      </c>
      <c r="H13" s="4">
        <v>46.5</v>
      </c>
      <c r="I13" s="4">
        <v>1</v>
      </c>
      <c r="J13" s="4"/>
      <c r="K13" s="4">
        <v>3</v>
      </c>
      <c r="L13" s="4"/>
      <c r="M13">
        <f>IF(OR(ISNUMBER(SEARCH("Jumping", $C$5)),ISNUMBER(SEARCH("Vast Parcours", $C$5)), ISNUMBER(SEARCH("NKT", $C$5))),IF(OR(Table24[[#This Row],[Disk]]&gt;0,Table24[[#This Row],[W]]&gt;=3,Table24[[#This Row],[Tijd]]&gt;$F$3),"Disk",IF(ISBLANK(Table24[[#This Row],[Tijd]]),"",Table24[[#This Row],[Fouten]]+MAX(0,Table24[[#This Row],[Tijd]]-$F$2))),"-")</f>
        <v>20.5</v>
      </c>
      <c r="N13">
        <f>IFERROR(PRODUCT($F$4,1/Table24[[#This Row],[Tijd]]),0)</f>
        <v>3.78494623655914</v>
      </c>
      <c r="O13">
        <f>SUM(Table24[[#This Row],[W]],Table24[[#This Row],[A]],Table24[[#This Row],[F]])*5</f>
        <v>20</v>
      </c>
      <c r="P13" t="str">
        <f>TEXT(Table24[[#This Row],[Score]],"00,00")&amp;TEXT(Table24[[#This Row],[Fouten]],"00")&amp;TEXT(Table24[[#This Row],[Tijd]],"00,000")</f>
        <v>20,502046,500</v>
      </c>
      <c r="Q13" t="str">
        <f>IF(IFERROR(VLOOKUP(Table24[[#This Row],[SNR]],Deelnemers[#Data],7,0),0)&lt;&gt;$C$4,"Loopt niet in deze groep!",IF(COUNTIF(Table24[SNR],Table24[[#This Row],[SNR]])&gt;1,"Dubbel",""))</f>
        <v/>
      </c>
    </row>
    <row r="14" spans="1:17" x14ac:dyDescent="0.2">
      <c r="A14">
        <f>IFERROR(VLOOKUP(Table24[[#This Row],[SNR]],Deelnemers[#Data],2,0),"")</f>
        <v>422447</v>
      </c>
      <c r="B14">
        <f>IF(VLOOKUP(Table24[[#This Row],[SNR]],Deelnemers[#Data],8,0)&gt;0,"BM",IF(Table24[[#This Row],[Score]]="Disk",0,MATCH(Table24[[#This Row],[Sorteren]],Table24[Sorteren],0)-COUNTIF($B$7:$B13,"BM")))</f>
        <v>7</v>
      </c>
      <c r="D14" t="str">
        <f>IFERROR(VLOOKUP(Table24[[#This Row],[SNR]],Deelnemers[#Data],3,0),"")</f>
        <v>Gisèle Kdise</v>
      </c>
      <c r="E14" t="str">
        <f>IFERROR(VLOOKUP(Table24[[#This Row],[SNR]],Deelnemers[#Data],4,0),"")</f>
        <v>Holly</v>
      </c>
      <c r="F14" t="str">
        <f>IFERROR(VLOOKUP(Table24[[#This Row],[SNR]],Deelnemers[#Data],6,0),"")</f>
        <v>Kooikerhondje</v>
      </c>
      <c r="G14" s="4">
        <v>11</v>
      </c>
      <c r="H14" s="4">
        <v>57.2</v>
      </c>
      <c r="I14" s="4">
        <v>1</v>
      </c>
      <c r="J14" s="4"/>
      <c r="K14" s="4">
        <v>2</v>
      </c>
      <c r="L14" s="4"/>
      <c r="M14">
        <f>IF(OR(ISNUMBER(SEARCH("Jumping", $C$5)),ISNUMBER(SEARCH("Vast Parcours", $C$5)), ISNUMBER(SEARCH("NKT", $C$5))),IF(OR(Table24[[#This Row],[Disk]]&gt;0,Table24[[#This Row],[W]]&gt;=3,Table24[[#This Row],[Tijd]]&gt;$F$3),"Disk",IF(ISBLANK(Table24[[#This Row],[Tijd]]),"",Table24[[#This Row],[Fouten]]+MAX(0,Table24[[#This Row],[Tijd]]-$F$2))),"-")</f>
        <v>26.200000000000003</v>
      </c>
      <c r="N14">
        <f>IFERROR(PRODUCT($F$4,1/Table24[[#This Row],[Tijd]]),0)</f>
        <v>3.0769230769230766</v>
      </c>
      <c r="O14">
        <f>SUM(Table24[[#This Row],[W]],Table24[[#This Row],[A]],Table24[[#This Row],[F]])*5</f>
        <v>15</v>
      </c>
      <c r="P14" t="str">
        <f>TEXT(Table24[[#This Row],[Score]],"00,00")&amp;TEXT(Table24[[#This Row],[Fouten]],"00")&amp;TEXT(Table24[[#This Row],[Tijd]],"00,000")</f>
        <v>26,201557,200</v>
      </c>
      <c r="Q14" t="str">
        <f>IF(IFERROR(VLOOKUP(Table24[[#This Row],[SNR]],Deelnemers[#Data],7,0),0)&lt;&gt;$C$4,"Loopt niet in deze groep!",IF(COUNTIF(Table24[SNR],Table24[[#This Row],[SNR]])&gt;1,"Dubbel",""))</f>
        <v/>
      </c>
    </row>
    <row r="15" spans="1:17" x14ac:dyDescent="0.2">
      <c r="A15">
        <f>IFERROR(VLOOKUP(Table24[[#This Row],[SNR]],Deelnemers[#Data],2,0),"")</f>
        <v>145157</v>
      </c>
      <c r="B15">
        <f>IF(VLOOKUP(Table24[[#This Row],[SNR]],Deelnemers[#Data],8,0)&gt;0,"BM",IF(Table24[[#This Row],[Score]]="Disk",0,MATCH(Table24[[#This Row],[Sorteren]],Table24[Sorteren],0)-COUNTIF($B$7:$B14,"BM")))</f>
        <v>0</v>
      </c>
      <c r="D15" t="str">
        <f>IFERROR(VLOOKUP(Table24[[#This Row],[SNR]],Deelnemers[#Data],3,0),"")</f>
        <v>Bianca Jansen</v>
      </c>
      <c r="E15" t="str">
        <f>IFERROR(VLOOKUP(Table24[[#This Row],[SNR]],Deelnemers[#Data],4,0),"")</f>
        <v>Fynny</v>
      </c>
      <c r="F15" t="str">
        <f>IFERROR(VLOOKUP(Table24[[#This Row],[SNR]],Deelnemers[#Data],6,0),"")</f>
        <v>Pumi</v>
      </c>
      <c r="G15" s="4">
        <v>10</v>
      </c>
      <c r="H15" s="4"/>
      <c r="I15" s="4"/>
      <c r="J15" s="4"/>
      <c r="K15" s="4"/>
      <c r="L15" s="4" t="s">
        <v>326</v>
      </c>
      <c r="M15" t="str">
        <f>IF(OR(ISNUMBER(SEARCH("Jumping", $C$5)),ISNUMBER(SEARCH("Vast Parcours", $C$5)), ISNUMBER(SEARCH("NKT", $C$5))),IF(OR(Table24[[#This Row],[Disk]]&gt;0,Table24[[#This Row],[W]]&gt;=3,Table24[[#This Row],[Tijd]]&gt;$F$3),"Disk",IF(ISBLANK(Table24[[#This Row],[Tijd]]),"",Table24[[#This Row],[Fouten]]+MAX(0,Table24[[#This Row],[Tijd]]-$F$2))),"-")</f>
        <v>Disk</v>
      </c>
      <c r="N15">
        <f>IFERROR(PRODUCT($F$4,1/Table24[[#This Row],[Tijd]]),0)</f>
        <v>0</v>
      </c>
      <c r="O15">
        <f>SUM(Table24[[#This Row],[W]],Table24[[#This Row],[A]],Table24[[#This Row],[F]])*5</f>
        <v>0</v>
      </c>
      <c r="P15" t="str">
        <f>TEXT(Table24[[#This Row],[Score]],"00,00")&amp;TEXT(Table24[[#This Row],[Fouten]],"00")&amp;TEXT(Table24[[#This Row],[Tijd]],"00,000")</f>
        <v>Disk0000,000</v>
      </c>
      <c r="Q15" t="str">
        <f>IF(IFERROR(VLOOKUP(Table24[[#This Row],[SNR]],Deelnemers[#Data],7,0),0)&lt;&gt;$C$4,"Loopt niet in deze groep!",IF(COUNTIF(Table24[SNR],Table24[[#This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38" priority="1">
      <formula>LEN(TRIM(F1))=0</formula>
    </cfRule>
  </conditionalFormatting>
  <dataValidations count="2">
    <dataValidation type="list" allowBlank="1" showInputMessage="1" showErrorMessage="1" sqref="C4" xr:uid="{00000000-0002-0000-1800-000000000000}">
      <formula1>GroepLijst</formula1>
    </dataValidation>
    <dataValidation type="list" allowBlank="1" showInputMessage="1" showErrorMessage="1" sqref="F1" xr:uid="{8B19B647-E2E7-4948-A57F-AF4CB32C0D6A}">
      <formula1>KeurmeesterLijst</formula1>
    </dataValidation>
  </dataValidations>
  <pageMargins left="0.7" right="0.7" top="0.75" bottom="0.75" header="0.3" footer="0.3"/>
  <pageSetup paperSize="9" fitToHeight="0" orientation="portrait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Q15"/>
  <sheetViews>
    <sheetView workbookViewId="0">
      <selection activeCell="L16" sqref="L16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8">
        <v>45</v>
      </c>
      <c r="G2" t="s">
        <v>308</v>
      </c>
      <c r="H2" s="12" t="str">
        <f>$C$4</f>
        <v>3ᵉ graad Medium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8">
        <v>74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7</v>
      </c>
      <c r="D4" s="13"/>
      <c r="E4" t="s">
        <v>310</v>
      </c>
      <c r="F4" s="8">
        <v>176</v>
      </c>
      <c r="G4" t="s">
        <v>311</v>
      </c>
      <c r="H4" s="12" t="str">
        <f>$C$5</f>
        <v>Vast Parcours 2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IFERROR(VLOOKUP(Table25[[#This Row],[SNR]],Deelnemers[#Data],2,0),"")</f>
        <v>403602</v>
      </c>
      <c r="B8">
        <f>IF(VLOOKUP(Table25[[#This Row],[SNR]],Deelnemers[#Data],8,0)&gt;0,"BM",IF(Table25[[#This Row],[Score]]="Disk",0,MATCH(Table25[[#This Row],[Sorteren]],Table25[Sorteren],0)-COUNTIF($B$7:$B7,"BM")))</f>
        <v>1</v>
      </c>
      <c r="D8" t="str">
        <f>IFERROR(VLOOKUP(Table25[[#This Row],[SNR]],Deelnemers[#Data],3,0),"")</f>
        <v>Eerjan de Bruijn</v>
      </c>
      <c r="E8" t="str">
        <f>IFERROR(VLOOKUP(Table25[[#This Row],[SNR]],Deelnemers[#Data],4,0),"")</f>
        <v>Laika</v>
      </c>
      <c r="F8" t="str">
        <f>IFERROR(VLOOKUP(Table25[[#This Row],[SNR]],Deelnemers[#Data],6,0),"")</f>
        <v>Shetland Sheepdog</v>
      </c>
      <c r="G8">
        <v>121</v>
      </c>
      <c r="H8">
        <v>43.04</v>
      </c>
      <c r="M8">
        <f>IF(OR(ISNUMBER(SEARCH("Jumping", $C$5)),ISNUMBER(SEARCH("Vast Parcours", $C$5)), ISNUMBER(SEARCH("NKT", $C$5))),IF(OR(Table25[[#This Row],[Disk]]&gt;0,Table25[[#This Row],[W]]&gt;=3,Table25[[#This Row],[Tijd]]&gt;$F$3),"Disk",IF(ISBLANK(Table25[[#This Row],[Tijd]]),"",Table25[[#This Row],[Fouten]]+MAX(0,Table25[[#This Row],[Tijd]]-$F$2))),"-")</f>
        <v>0</v>
      </c>
      <c r="N8">
        <f>IFERROR(PRODUCT($F$4,1/Table25[[#This Row],[Tijd]]),0)</f>
        <v>4.0892193308550189</v>
      </c>
      <c r="O8">
        <f>SUM(Table25[[#This Row],[W]],Table25[[#This Row],[A]],Table25[[#This Row],[F]])*5</f>
        <v>0</v>
      </c>
      <c r="P8" t="str">
        <f>TEXT(Table25[[#This Row],[Score]],"00,00")&amp;TEXT(Table25[[#This Row],[Fouten]],"00")&amp;TEXT(Table25[[#This Row],[Tijd]],"00,000")</f>
        <v>00,000043,040</v>
      </c>
      <c r="Q8" t="str">
        <f>IF(IFERROR(VLOOKUP(Table25[[#This Row],[SNR]],Deelnemers[#Data],7,0),0)&lt;&gt;$C$4,"Loopt niet in deze groep!",IF(COUNTIF(Table25[SNR],Table25[[#This Row],[SNR]])&gt;1,"Dubbel",""))</f>
        <v/>
      </c>
    </row>
    <row r="9" spans="1:17" x14ac:dyDescent="0.2">
      <c r="A9">
        <f>IFERROR(VLOOKUP(Table25[[#This Row],[SNR]],Deelnemers[#Data],2,0),"")</f>
        <v>422447</v>
      </c>
      <c r="B9">
        <f>IF(VLOOKUP(Table25[[#This Row],[SNR]],Deelnemers[#Data],8,0)&gt;0,"BM",IF(Table25[[#This Row],[Score]]="Disk",0,MATCH(Table25[[#This Row],[Sorteren]],Table25[Sorteren],0)-COUNTIF($B$7:$B8,"BM")))</f>
        <v>2</v>
      </c>
      <c r="D9" t="str">
        <f>IFERROR(VLOOKUP(Table25[[#This Row],[SNR]],Deelnemers[#Data],3,0),"")</f>
        <v>Gisèle Kdise</v>
      </c>
      <c r="E9" t="str">
        <f>IFERROR(VLOOKUP(Table25[[#This Row],[SNR]],Deelnemers[#Data],4,0),"")</f>
        <v>Holly</v>
      </c>
      <c r="F9" t="str">
        <f>IFERROR(VLOOKUP(Table25[[#This Row],[SNR]],Deelnemers[#Data],6,0),"")</f>
        <v>Kooikerhondje</v>
      </c>
      <c r="G9" s="8">
        <v>11</v>
      </c>
      <c r="H9" s="8">
        <v>50</v>
      </c>
      <c r="I9" s="8"/>
      <c r="J9" s="8"/>
      <c r="K9" s="8"/>
      <c r="L9" s="8"/>
      <c r="M9">
        <f>IF(OR(ISNUMBER(SEARCH("Jumping", $C$5)),ISNUMBER(SEARCH("Vast Parcours", $C$5)), ISNUMBER(SEARCH("NKT", $C$5))),IF(OR(Table25[[#This Row],[Disk]]&gt;0,Table25[[#This Row],[W]]&gt;=3,Table25[[#This Row],[Tijd]]&gt;$F$3),"Disk",IF(ISBLANK(Table25[[#This Row],[Tijd]]),"",Table25[[#This Row],[Fouten]]+MAX(0,Table25[[#This Row],[Tijd]]-$F$2))),"-")</f>
        <v>5</v>
      </c>
      <c r="N9">
        <f>IFERROR(PRODUCT($F$4,1/Table25[[#This Row],[Tijd]]),0)</f>
        <v>3.52</v>
      </c>
      <c r="O9">
        <f>SUM(Table25[[#This Row],[W]],Table25[[#This Row],[A]],Table25[[#This Row],[F]])*5</f>
        <v>0</v>
      </c>
      <c r="P9" t="str">
        <f>TEXT(Table25[[#This Row],[Score]],"00,00")&amp;TEXT(Table25[[#This Row],[Fouten]],"00")&amp;TEXT(Table25[[#This Row],[Tijd]],"00,000")</f>
        <v>05,000050,000</v>
      </c>
      <c r="Q9" t="str">
        <f>IF(IFERROR(VLOOKUP(Table25[[#This Row],[SNR]],Deelnemers[#Data],7,0),0)&lt;&gt;$C$4,"Loopt niet in deze groep!",IF(COUNTIF(Table25[SNR],Table25[[#This Row],[SNR]])&gt;1,"Dubbel",""))</f>
        <v/>
      </c>
    </row>
    <row r="10" spans="1:17" x14ac:dyDescent="0.2">
      <c r="A10">
        <f>IFERROR(VLOOKUP(Table25[[#This Row],[SNR]],Deelnemers[#Data],2,0),"")</f>
        <v>145157</v>
      </c>
      <c r="B10">
        <f>IF(VLOOKUP(Table25[[#This Row],[SNR]],Deelnemers[#Data],8,0)&gt;0,"BM",IF(Table25[[#This Row],[Score]]="Disk",0,MATCH(Table25[[#This Row],[Sorteren]],Table25[Sorteren],0)-COUNTIF($B$7:$B9,"BM")))</f>
        <v>3</v>
      </c>
      <c r="D10" t="str">
        <f>IFERROR(VLOOKUP(Table25[[#This Row],[SNR]],Deelnemers[#Data],3,0),"")</f>
        <v>Bianca Jansen</v>
      </c>
      <c r="E10" t="str">
        <f>IFERROR(VLOOKUP(Table25[[#This Row],[SNR]],Deelnemers[#Data],4,0),"")</f>
        <v>Fynny</v>
      </c>
      <c r="F10" t="str">
        <f>IFERROR(VLOOKUP(Table25[[#This Row],[SNR]],Deelnemers[#Data],6,0),"")</f>
        <v>Pumi</v>
      </c>
      <c r="G10" s="8">
        <v>10</v>
      </c>
      <c r="H10" s="8">
        <v>47.4</v>
      </c>
      <c r="I10" s="8">
        <v>1</v>
      </c>
      <c r="J10" s="8"/>
      <c r="K10" s="8"/>
      <c r="L10" s="8"/>
      <c r="M10">
        <f>IF(OR(ISNUMBER(SEARCH("Jumping", $C$5)),ISNUMBER(SEARCH("Vast Parcours", $C$5)), ISNUMBER(SEARCH("NKT", $C$5))),IF(OR(Table25[[#This Row],[Disk]]&gt;0,Table25[[#This Row],[W]]&gt;=3,Table25[[#This Row],[Tijd]]&gt;$F$3),"Disk",IF(ISBLANK(Table25[[#This Row],[Tijd]]),"",Table25[[#This Row],[Fouten]]+MAX(0,Table25[[#This Row],[Tijd]]-$F$2))),"-")</f>
        <v>7.3999999999999986</v>
      </c>
      <c r="N10">
        <f>IFERROR(PRODUCT($F$4,1/Table25[[#This Row],[Tijd]]),0)</f>
        <v>3.7130801687763713</v>
      </c>
      <c r="O10">
        <f>SUM(Table25[[#This Row],[W]],Table25[[#This Row],[A]],Table25[[#This Row],[F]])*5</f>
        <v>5</v>
      </c>
      <c r="P10" t="str">
        <f>TEXT(Table25[[#This Row],[Score]],"00,00")&amp;TEXT(Table25[[#This Row],[Fouten]],"00")&amp;TEXT(Table25[[#This Row],[Tijd]],"00,000")</f>
        <v>07,400547,400</v>
      </c>
      <c r="Q10" t="str">
        <f>IF(IFERROR(VLOOKUP(Table25[[#This Row],[SNR]],Deelnemers[#Data],7,0),0)&lt;&gt;$C$4,"Loopt niet in deze groep!",IF(COUNTIF(Table25[SNR],Table25[[#This Row],[SNR]])&gt;1,"Dubbel",""))</f>
        <v/>
      </c>
    </row>
    <row r="11" spans="1:17" x14ac:dyDescent="0.2">
      <c r="A11">
        <f>IFERROR(VLOOKUP(Table25[[#This Row],[SNR]],Deelnemers[#Data],2,0),"")</f>
        <v>176850</v>
      </c>
      <c r="B11">
        <f>IF(VLOOKUP(Table25[[#This Row],[SNR]],Deelnemers[#Data],8,0)&gt;0,"BM",IF(Table25[[#This Row],[Score]]="Disk",0,MATCH(Table25[[#This Row],[Sorteren]],Table25[Sorteren],0)-COUNTIF($B$7:$B10,"BM")))</f>
        <v>4</v>
      </c>
      <c r="D11" t="str">
        <f>IFERROR(VLOOKUP(Table25[[#This Row],[SNR]],Deelnemers[#Data],3,0),"")</f>
        <v>Christina Smit</v>
      </c>
      <c r="E11" t="str">
        <f>IFERROR(VLOOKUP(Table25[[#This Row],[SNR]],Deelnemers[#Data],4,0),"")</f>
        <v>Kennie</v>
      </c>
      <c r="F11" t="str">
        <f>IFERROR(VLOOKUP(Table25[[#This Row],[SNR]],Deelnemers[#Data],6,0),"")</f>
        <v>Shetland Sheepdog</v>
      </c>
      <c r="G11" s="8">
        <v>7</v>
      </c>
      <c r="H11" s="8">
        <v>44.52</v>
      </c>
      <c r="I11" s="8"/>
      <c r="J11" s="8"/>
      <c r="K11" s="8">
        <v>2</v>
      </c>
      <c r="L11" s="8"/>
      <c r="M11">
        <f>IF(OR(ISNUMBER(SEARCH("Jumping", $C$5)),ISNUMBER(SEARCH("Vast Parcours", $C$5)), ISNUMBER(SEARCH("NKT", $C$5))),IF(OR(Table25[[#This Row],[Disk]]&gt;0,Table25[[#This Row],[W]]&gt;=3,Table25[[#This Row],[Tijd]]&gt;$F$3),"Disk",IF(ISBLANK(Table25[[#This Row],[Tijd]]),"",Table25[[#This Row],[Fouten]]+MAX(0,Table25[[#This Row],[Tijd]]-$F$2))),"-")</f>
        <v>10</v>
      </c>
      <c r="N11">
        <f>IFERROR(PRODUCT($F$4,1/Table25[[#This Row],[Tijd]]),0)</f>
        <v>3.9532794249775383</v>
      </c>
      <c r="O11">
        <f>SUM(Table25[[#This Row],[W]],Table25[[#This Row],[A]],Table25[[#This Row],[F]])*5</f>
        <v>10</v>
      </c>
      <c r="P11" t="str">
        <f>TEXT(Table25[[#This Row],[Score]],"00,00")&amp;TEXT(Table25[[#This Row],[Fouten]],"00")&amp;TEXT(Table25[[#This Row],[Tijd]],"00,000")</f>
        <v>10,001044,520</v>
      </c>
      <c r="Q11" t="str">
        <f>IF(IFERROR(VLOOKUP(Table25[[#This Row],[SNR]],Deelnemers[#Data],7,0),0)&lt;&gt;$C$4,"Loopt niet in deze groep!",IF(COUNTIF(Table25[SNR],Table25[[#This Row],[SNR]])&gt;1,"Dubbel",""))</f>
        <v/>
      </c>
    </row>
    <row r="12" spans="1:17" x14ac:dyDescent="0.2">
      <c r="A12">
        <f>IFERROR(VLOOKUP(Table25[[#This Row],[SNR]],Deelnemers[#Data],2,0),"")</f>
        <v>154539</v>
      </c>
      <c r="B12">
        <f>IF(VLOOKUP(Table25[[#This Row],[SNR]],Deelnemers[#Data],8,0)&gt;0,"BM",IF(Table25[[#This Row],[Score]]="Disk",0,MATCH(Table25[[#This Row],[Sorteren]],Table25[Sorteren],0)-COUNTIF($B$7:$B11,"BM")))</f>
        <v>5</v>
      </c>
      <c r="D12" t="str">
        <f>IFERROR(VLOOKUP(Table25[[#This Row],[SNR]],Deelnemers[#Data],3,0),"")</f>
        <v>Nicky Spengler</v>
      </c>
      <c r="E12" t="str">
        <f>IFERROR(VLOOKUP(Table25[[#This Row],[SNR]],Deelnemers[#Data],4,0),"")</f>
        <v>Darby</v>
      </c>
      <c r="F12" t="str">
        <f>IFERROR(VLOOKUP(Table25[[#This Row],[SNR]],Deelnemers[#Data],6,0),"")</f>
        <v>Shetland Sheepdog</v>
      </c>
      <c r="G12" s="8">
        <v>13</v>
      </c>
      <c r="H12" s="8">
        <v>48.52</v>
      </c>
      <c r="I12" s="8">
        <v>1</v>
      </c>
      <c r="J12" s="8"/>
      <c r="K12" s="8">
        <v>1</v>
      </c>
      <c r="L12" s="8"/>
      <c r="M12">
        <f>IF(OR(ISNUMBER(SEARCH("Jumping", $C$5)),ISNUMBER(SEARCH("Vast Parcours", $C$5)), ISNUMBER(SEARCH("NKT", $C$5))),IF(OR(Table25[[#This Row],[Disk]]&gt;0,Table25[[#This Row],[W]]&gt;=3,Table25[[#This Row],[Tijd]]&gt;$F$3),"Disk",IF(ISBLANK(Table25[[#This Row],[Tijd]]),"",Table25[[#This Row],[Fouten]]+MAX(0,Table25[[#This Row],[Tijd]]-$F$2))),"-")</f>
        <v>13.520000000000003</v>
      </c>
      <c r="N12">
        <f>IFERROR(PRODUCT($F$4,1/Table25[[#This Row],[Tijd]]),0)</f>
        <v>3.6273701566364385</v>
      </c>
      <c r="O12">
        <f>SUM(Table25[[#This Row],[W]],Table25[[#This Row],[A]],Table25[[#This Row],[F]])*5</f>
        <v>10</v>
      </c>
      <c r="P12" t="str">
        <f>TEXT(Table25[[#This Row],[Score]],"00,00")&amp;TEXT(Table25[[#This Row],[Fouten]],"00")&amp;TEXT(Table25[[#This Row],[Tijd]],"00,000")</f>
        <v>13,521048,520</v>
      </c>
      <c r="Q12" t="str">
        <f>IF(IFERROR(VLOOKUP(Table25[[#This Row],[SNR]],Deelnemers[#Data],7,0),0)&lt;&gt;$C$4,"Loopt niet in deze groep!",IF(COUNTIF(Table25[SNR],Table25[[#This Row],[SNR]])&gt;1,"Dubbel",""))</f>
        <v/>
      </c>
    </row>
    <row r="13" spans="1:17" x14ac:dyDescent="0.2">
      <c r="A13">
        <f>IFERROR(VLOOKUP(Table25[[#This Row],[SNR]],Deelnemers[#Data],2,0),"")</f>
        <v>423117</v>
      </c>
      <c r="B13">
        <f>IF(VLOOKUP(Table25[[#This Row],[SNR]],Deelnemers[#Data],8,0)&gt;0,"BM",IF(Table25[[#This Row],[Score]]="Disk",0,MATCH(Table25[[#This Row],[Sorteren]],Table25[Sorteren],0)-COUNTIF($B$7:$B12,"BM")))</f>
        <v>0</v>
      </c>
      <c r="D13" t="str">
        <f>IFERROR(VLOOKUP(Table25[[#This Row],[SNR]],Deelnemers[#Data],3,0),"")</f>
        <v>Nicky Spengler</v>
      </c>
      <c r="E13" t="str">
        <f>IFERROR(VLOOKUP(Table25[[#This Row],[SNR]],Deelnemers[#Data],4,0),"")</f>
        <v>Nalan</v>
      </c>
      <c r="F13" t="str">
        <f>IFERROR(VLOOKUP(Table25[[#This Row],[SNR]],Deelnemers[#Data],6,0),"")</f>
        <v>Shetland Sheepdog</v>
      </c>
      <c r="G13" s="8">
        <v>8</v>
      </c>
      <c r="H13" s="8"/>
      <c r="I13" s="8"/>
      <c r="J13" s="8"/>
      <c r="K13" s="8"/>
      <c r="L13" s="8" t="s">
        <v>326</v>
      </c>
      <c r="M13" t="str">
        <f>IF(OR(ISNUMBER(SEARCH("Jumping", $C$5)),ISNUMBER(SEARCH("Vast Parcours", $C$5)), ISNUMBER(SEARCH("NKT", $C$5))),IF(OR(Table25[[#This Row],[Disk]]&gt;0,Table25[[#This Row],[W]]&gt;=3,Table25[[#This Row],[Tijd]]&gt;$F$3),"Disk",IF(ISBLANK(Table25[[#This Row],[Tijd]]),"",Table25[[#This Row],[Fouten]]+MAX(0,Table25[[#This Row],[Tijd]]-$F$2))),"-")</f>
        <v>Disk</v>
      </c>
      <c r="N13">
        <f>IFERROR(PRODUCT($F$4,1/Table25[[#This Row],[Tijd]]),0)</f>
        <v>0</v>
      </c>
      <c r="O13">
        <f>SUM(Table25[[#This Row],[W]],Table25[[#This Row],[A]],Table25[[#This Row],[F]])*5</f>
        <v>0</v>
      </c>
      <c r="P13" t="str">
        <f>TEXT(Table25[[#This Row],[Score]],"00,00")&amp;TEXT(Table25[[#This Row],[Fouten]],"00")&amp;TEXT(Table25[[#This Row],[Tijd]],"00,000")</f>
        <v>Disk0000,000</v>
      </c>
      <c r="Q13" t="str">
        <f>IF(IFERROR(VLOOKUP(Table25[[#This Row],[SNR]],Deelnemers[#Data],7,0),0)&lt;&gt;$C$4,"Loopt niet in deze groep!",IF(COUNTIF(Table25[SNR],Table25[[#This Row],[SNR]])&gt;1,"Dubbel",""))</f>
        <v/>
      </c>
    </row>
    <row r="14" spans="1:17" x14ac:dyDescent="0.2">
      <c r="A14">
        <f>IFERROR(VLOOKUP(Table25[[#This Row],[SNR]],Deelnemers[#Data],2,0),"")</f>
        <v>411891</v>
      </c>
      <c r="B14">
        <f>IF(VLOOKUP(Table25[[#This Row],[SNR]],Deelnemers[#Data],8,0)&gt;0,"BM",IF(Table25[[#This Row],[Score]]="Disk",0,MATCH(Table25[[#This Row],[Sorteren]],Table25[Sorteren],0)-COUNTIF($B$7:$B13,"BM")))</f>
        <v>0</v>
      </c>
      <c r="D14" t="str">
        <f>IFERROR(VLOOKUP(Table25[[#This Row],[SNR]],Deelnemers[#Data],3,0),"")</f>
        <v>Mariën Balt</v>
      </c>
      <c r="E14" t="str">
        <f>IFERROR(VLOOKUP(Table25[[#This Row],[SNR]],Deelnemers[#Data],4,0),"")</f>
        <v>Zyzo</v>
      </c>
      <c r="F14" t="str">
        <f>IFERROR(VLOOKUP(Table25[[#This Row],[SNR]],Deelnemers[#Data],6,0),"")</f>
        <v>rasloos</v>
      </c>
      <c r="G14" s="8">
        <v>9</v>
      </c>
      <c r="H14" s="8"/>
      <c r="I14" s="8"/>
      <c r="J14" s="8"/>
      <c r="K14" s="8"/>
      <c r="L14" s="8" t="s">
        <v>326</v>
      </c>
      <c r="M14" t="str">
        <f>IF(OR(ISNUMBER(SEARCH("Jumping", $C$5)),ISNUMBER(SEARCH("Vast Parcours", $C$5)), ISNUMBER(SEARCH("NKT", $C$5))),IF(OR(Table25[[#This Row],[Disk]]&gt;0,Table25[[#This Row],[W]]&gt;=3,Table25[[#This Row],[Tijd]]&gt;$F$3),"Disk",IF(ISBLANK(Table25[[#This Row],[Tijd]]),"",Table25[[#This Row],[Fouten]]+MAX(0,Table25[[#This Row],[Tijd]]-$F$2))),"-")</f>
        <v>Disk</v>
      </c>
      <c r="N14">
        <f>IFERROR(PRODUCT($F$4,1/Table25[[#This Row],[Tijd]]),0)</f>
        <v>0</v>
      </c>
      <c r="O14">
        <f>SUM(Table25[[#This Row],[W]],Table25[[#This Row],[A]],Table25[[#This Row],[F]])*5</f>
        <v>0</v>
      </c>
      <c r="P14" t="str">
        <f>TEXT(Table25[[#This Row],[Score]],"00,00")&amp;TEXT(Table25[[#This Row],[Fouten]],"00")&amp;TEXT(Table25[[#This Row],[Tijd]],"00,000")</f>
        <v>Disk0000,000</v>
      </c>
      <c r="Q14" t="str">
        <f>IF(IFERROR(VLOOKUP(Table25[[#This Row],[SNR]],Deelnemers[#Data],7,0),0)&lt;&gt;$C$4,"Loopt niet in deze groep!",IF(COUNTIF(Table25[SNR],Table25[[#This Row],[SNR]])&gt;1,"Dubbel",""))</f>
        <v/>
      </c>
    </row>
    <row r="15" spans="1:17" x14ac:dyDescent="0.2">
      <c r="A15">
        <f>IFERROR(VLOOKUP(Table25[[#This Row],[SNR]],Deelnemers[#Data],2,0),"")</f>
        <v>142271</v>
      </c>
      <c r="B15">
        <f>IF(VLOOKUP(Table25[[#This Row],[SNR]],Deelnemers[#Data],8,0)&gt;0,"BM",IF(Table25[[#This Row],[Score]]="Disk",0,MATCH(Table25[[#This Row],[Sorteren]],Table25[Sorteren],0)-COUNTIF($B$7:$B14,"BM")))</f>
        <v>0</v>
      </c>
      <c r="D15" t="str">
        <f>IFERROR(VLOOKUP(Table25[[#This Row],[SNR]],Deelnemers[#Data],3,0),"")</f>
        <v>Joke van der Molen</v>
      </c>
      <c r="E15" t="str">
        <f>IFERROR(VLOOKUP(Table25[[#This Row],[SNR]],Deelnemers[#Data],4,0),"")</f>
        <v>Vita</v>
      </c>
      <c r="F15" t="str">
        <f>IFERROR(VLOOKUP(Table25[[#This Row],[SNR]],Deelnemers[#Data],6,0),"")</f>
        <v>Hollandse Smoushond</v>
      </c>
      <c r="G15" s="8">
        <v>12</v>
      </c>
      <c r="H15" s="8"/>
      <c r="I15" s="8"/>
      <c r="J15" s="8"/>
      <c r="K15" s="8"/>
      <c r="L15" s="8" t="s">
        <v>326</v>
      </c>
      <c r="M15" t="str">
        <f>IF(OR(ISNUMBER(SEARCH("Jumping", $C$5)),ISNUMBER(SEARCH("Vast Parcours", $C$5)), ISNUMBER(SEARCH("NKT", $C$5))),IF(OR(Table25[[#This Row],[Disk]]&gt;0,Table25[[#This Row],[W]]&gt;=3,Table25[[#This Row],[Tijd]]&gt;$F$3),"Disk",IF(ISBLANK(Table25[[#This Row],[Tijd]]),"",Table25[[#This Row],[Fouten]]+MAX(0,Table25[[#This Row],[Tijd]]-$F$2))),"-")</f>
        <v>Disk</v>
      </c>
      <c r="N15">
        <f>IFERROR(PRODUCT($F$4,1/Table25[[#This Row],[Tijd]]),0)</f>
        <v>0</v>
      </c>
      <c r="O15">
        <f>SUM(Table25[[#This Row],[W]],Table25[[#This Row],[A]],Table25[[#This Row],[F]])*5</f>
        <v>0</v>
      </c>
      <c r="P15" t="str">
        <f>TEXT(Table25[[#This Row],[Score]],"00,00")&amp;TEXT(Table25[[#This Row],[Fouten]],"00")&amp;TEXT(Table25[[#This Row],[Tijd]],"00,000")</f>
        <v>Disk0000,000</v>
      </c>
      <c r="Q15" t="str">
        <f>IF(IFERROR(VLOOKUP(Table25[[#This Row],[SNR]],Deelnemers[#Data],7,0),0)&lt;&gt;$C$4,"Loopt niet in deze groep!",IF(COUNTIF(Table25[SNR],Table25[[#This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31" priority="2">
      <formula>LEN(TRIM(F1))=0</formula>
    </cfRule>
  </conditionalFormatting>
  <conditionalFormatting sqref="F2:F4">
    <cfRule type="containsBlanks" dxfId="30" priority="1">
      <formula>LEN(TRIM(F2))=0</formula>
    </cfRule>
  </conditionalFormatting>
  <dataValidations count="2">
    <dataValidation type="list" allowBlank="1" showInputMessage="1" showErrorMessage="1" sqref="C4" xr:uid="{00000000-0002-0000-1900-000000000000}">
      <formula1>GroepLijst</formula1>
    </dataValidation>
    <dataValidation type="list" allowBlank="1" showInputMessage="1" showErrorMessage="1" sqref="F1" xr:uid="{1CEC10E4-B7D7-5D4D-9E0B-43DFF69D295D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Q11"/>
  <sheetViews>
    <sheetView workbookViewId="0">
      <selection activeCell="L11" sqref="L11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9">
        <v>35</v>
      </c>
      <c r="G2" t="s">
        <v>308</v>
      </c>
      <c r="H2" s="12" t="str">
        <f>$C$4</f>
        <v>3ᵉ graad Small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9">
        <v>60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8</v>
      </c>
      <c r="D4" s="13"/>
      <c r="E4" t="s">
        <v>310</v>
      </c>
      <c r="F4" s="9">
        <v>139</v>
      </c>
      <c r="G4" t="s">
        <v>311</v>
      </c>
      <c r="H4" s="12" t="str">
        <f>$C$5</f>
        <v>Jumping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305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IFERROR(VLOOKUP(Table26[[#This Row],[SNR]],Deelnemers[#Data],2,0),"")</f>
        <v>144495</v>
      </c>
      <c r="B8">
        <f>IF(VLOOKUP(Table26[[#This Row],[SNR]],Deelnemers[#Data],8,0)&gt;0,"BM",IF(Table26[[#This Row],[Score]]="Disk",0,MATCH(Table26[[#This Row],[Sorteren]],Table26[Sorteren],0)-COUNTIF($B$7:$B7,"BM")))</f>
        <v>1</v>
      </c>
      <c r="D8" t="str">
        <f>IFERROR(VLOOKUP(Table26[[#This Row],[SNR]],Deelnemers[#Data],3,0),"")</f>
        <v>Bert Doppenberg</v>
      </c>
      <c r="E8" t="str">
        <f>IFERROR(VLOOKUP(Table26[[#This Row],[SNR]],Deelnemers[#Data],4,0),"")</f>
        <v>Kruimel</v>
      </c>
      <c r="F8" t="str">
        <f>IFERROR(VLOOKUP(Table26[[#This Row],[SNR]],Deelnemers[#Data],6,0),"")</f>
        <v>jack russell / yorkshire terriër</v>
      </c>
      <c r="G8" s="9">
        <v>17</v>
      </c>
      <c r="H8" s="9">
        <v>32.700000000000003</v>
      </c>
      <c r="I8" s="9"/>
      <c r="J8" s="9"/>
      <c r="K8" s="9"/>
      <c r="L8" s="9"/>
      <c r="M8">
        <f>IF(OR(ISNUMBER(SEARCH("Jumping", $C$5)),ISNUMBER(SEARCH("Vast Parcours", $C$5)), ISNUMBER(SEARCH("NKT", $C$5))),IF(OR(Table26[[#This Row],[Disk]]&gt;0,Table26[[#This Row],[W]]&gt;=3,Table26[[#This Row],[Tijd]]&gt;$F$3),"Disk",IF(ISBLANK(Table26[[#This Row],[Tijd]]),"",Table26[[#This Row],[Fouten]]+MAX(0,Table26[[#This Row],[Tijd]]-$F$2))),"-")</f>
        <v>0</v>
      </c>
      <c r="N8">
        <f>IFERROR(PRODUCT($F$4,1/Table26[[#This Row],[Tijd]]),0)</f>
        <v>4.2507645259938833</v>
      </c>
      <c r="O8">
        <f>SUM(Table26[[#This Row],[W]],Table26[[#This Row],[A]],Table26[[#This Row],[F]])*5</f>
        <v>0</v>
      </c>
      <c r="P8" t="str">
        <f>TEXT(Table26[[#This Row],[Score]],"00,00")&amp;TEXT(Table26[[#This Row],[Fouten]],"00")&amp;TEXT(Table26[[#This Row],[Tijd]],"00,000")</f>
        <v>00,000032,700</v>
      </c>
      <c r="Q8" t="str">
        <f>IF(IFERROR(VLOOKUP(Table26[[#This Row],[SNR]],Deelnemers[#Data],7,0),0)&lt;&gt;$C$4,"Loopt niet in deze groep!",IF(COUNTIF(Table26[SNR],Table26[[#This Row],[SNR]])&gt;1,"Dubbel",""))</f>
        <v/>
      </c>
    </row>
    <row r="9" spans="1:17" x14ac:dyDescent="0.2">
      <c r="A9">
        <f>IFERROR(VLOOKUP(Table26[[#This Row],[SNR]],Deelnemers[#Data],2,0),"")</f>
        <v>433357</v>
      </c>
      <c r="B9">
        <f>IF(VLOOKUP(Table26[[#This Row],[SNR]],Deelnemers[#Data],8,0)&gt;0,"BM",IF(Table26[[#This Row],[Score]]="Disk",0,MATCH(Table26[[#This Row],[Sorteren]],Table26[Sorteren],0)-COUNTIF($B$7:$B8,"BM")))</f>
        <v>0</v>
      </c>
      <c r="D9" t="str">
        <f>IFERROR(VLOOKUP(Table26[[#This Row],[SNR]],Deelnemers[#Data],3,0),"")</f>
        <v>Nicole Schreuder Peters</v>
      </c>
      <c r="E9" t="str">
        <f>IFERROR(VLOOKUP(Table26[[#This Row],[SNR]],Deelnemers[#Data],4,0),"")</f>
        <v>Kiriya</v>
      </c>
      <c r="F9" t="str">
        <f>IFERROR(VLOOKUP(Table26[[#This Row],[SNR]],Deelnemers[#Data],6,0),"")</f>
        <v>toy australian shepherd</v>
      </c>
      <c r="G9">
        <v>14</v>
      </c>
      <c r="L9" t="s">
        <v>326</v>
      </c>
      <c r="M9" t="str">
        <f>IF(OR(ISNUMBER(SEARCH("Jumping", $C$5)),ISNUMBER(SEARCH("Vast Parcours", $C$5)), ISNUMBER(SEARCH("NKT", $C$5))),IF(OR(Table26[[#This Row],[Disk]]&gt;0,Table26[[#This Row],[W]]&gt;=3,Table26[[#This Row],[Tijd]]&gt;$F$3),"Disk",IF(ISBLANK(Table26[[#This Row],[Tijd]]),"",Table26[[#This Row],[Fouten]]+MAX(0,Table26[[#This Row],[Tijd]]-$F$2))),"-")</f>
        <v>Disk</v>
      </c>
      <c r="N9">
        <f>IFERROR(PRODUCT($F$4,1/Table26[[#This Row],[Tijd]]),0)</f>
        <v>0</v>
      </c>
      <c r="O9">
        <f>SUM(Table26[[#This Row],[W]],Table26[[#This Row],[A]],Table26[[#This Row],[F]])*5</f>
        <v>0</v>
      </c>
      <c r="P9" t="str">
        <f>TEXT(Table26[[#This Row],[Score]],"00,00")&amp;TEXT(Table26[[#This Row],[Fouten]],"00")&amp;TEXT(Table26[[#This Row],[Tijd]],"00,000")</f>
        <v>Disk0000,000</v>
      </c>
      <c r="Q9" t="str">
        <f>IF(IFERROR(VLOOKUP(Table26[[#This Row],[SNR]],Deelnemers[#Data],7,0),0)&lt;&gt;$C$4,"Loopt niet in deze groep!",IF(COUNTIF(Table26[SNR],Table26[[#This Row],[SNR]])&gt;1,"Dubbel",""))</f>
        <v/>
      </c>
    </row>
    <row r="10" spans="1:17" x14ac:dyDescent="0.2">
      <c r="A10">
        <f>IFERROR(VLOOKUP(Table26[[#This Row],[SNR]],Deelnemers[#Data],2,0),"")</f>
        <v>152862</v>
      </c>
      <c r="B10">
        <f>IF(VLOOKUP(Table26[[#This Row],[SNR]],Deelnemers[#Data],8,0)&gt;0,"BM",IF(Table26[[#This Row],[Score]]="Disk",0,MATCH(Table26[[#This Row],[Sorteren]],Table26[Sorteren],0)-COUNTIF($B$7:$B9,"BM")))</f>
        <v>0</v>
      </c>
      <c r="D10" t="str">
        <f>IFERROR(VLOOKUP(Table26[[#This Row],[SNR]],Deelnemers[#Data],3,0),"")</f>
        <v>Klaas Aalderink</v>
      </c>
      <c r="E10" t="str">
        <f>IFERROR(VLOOKUP(Table26[[#This Row],[SNR]],Deelnemers[#Data],4,0),"")</f>
        <v>Kaycee</v>
      </c>
      <c r="F10" t="str">
        <f>IFERROR(VLOOKUP(Table26[[#This Row],[SNR]],Deelnemers[#Data],6,0),"")</f>
        <v>Shetland Sheepdog</v>
      </c>
      <c r="G10" s="9">
        <v>15</v>
      </c>
      <c r="H10" s="9"/>
      <c r="I10" s="9"/>
      <c r="J10" s="9"/>
      <c r="K10" s="9"/>
      <c r="L10" s="9" t="s">
        <v>326</v>
      </c>
      <c r="M10" t="str">
        <f>IF(OR(ISNUMBER(SEARCH("Jumping", $C$5)),ISNUMBER(SEARCH("Vast Parcours", $C$5)), ISNUMBER(SEARCH("NKT", $C$5))),IF(OR(Table26[[#This Row],[Disk]]&gt;0,Table26[[#This Row],[W]]&gt;=3,Table26[[#This Row],[Tijd]]&gt;$F$3),"Disk",IF(ISBLANK(Table26[[#This Row],[Tijd]]),"",Table26[[#This Row],[Fouten]]+MAX(0,Table26[[#This Row],[Tijd]]-$F$2))),"-")</f>
        <v>Disk</v>
      </c>
      <c r="N10">
        <f>IFERROR(PRODUCT($F$4,1/Table26[[#This Row],[Tijd]]),0)</f>
        <v>0</v>
      </c>
      <c r="O10">
        <f>SUM(Table26[[#This Row],[W]],Table26[[#This Row],[A]],Table26[[#This Row],[F]])*5</f>
        <v>0</v>
      </c>
      <c r="P10" t="str">
        <f>TEXT(Table26[[#This Row],[Score]],"00,00")&amp;TEXT(Table26[[#This Row],[Fouten]],"00")&amp;TEXT(Table26[[#This Row],[Tijd]],"00,000")</f>
        <v>Disk0000,000</v>
      </c>
      <c r="Q10" t="str">
        <f>IF(IFERROR(VLOOKUP(Table26[[#This Row],[SNR]],Deelnemers[#Data],7,0),0)&lt;&gt;$C$4,"Loopt niet in deze groep!",IF(COUNTIF(Table26[SNR],Table26[[#This Row],[SNR]])&gt;1,"Dubbel",""))</f>
        <v/>
      </c>
    </row>
    <row r="11" spans="1:17" x14ac:dyDescent="0.2">
      <c r="A11">
        <f>IFERROR(VLOOKUP(Table26[[#This Row],[SNR]],Deelnemers[#Data],2,0),"")</f>
        <v>420232</v>
      </c>
      <c r="B11">
        <f>IF(VLOOKUP(Table26[[#This Row],[SNR]],Deelnemers[#Data],8,0)&gt;0,"BM",IF(Table26[[#This Row],[Score]]="Disk",0,MATCH(Table26[[#This Row],[Sorteren]],Table26[Sorteren],0)-COUNTIF($B$7:$B10,"BM")))</f>
        <v>0</v>
      </c>
      <c r="D11" t="str">
        <f>IFERROR(VLOOKUP(Table26[[#This Row],[SNR]],Deelnemers[#Data],3,0),"")</f>
        <v>Margreet Osinga-Ijpma</v>
      </c>
      <c r="E11" t="str">
        <f>IFERROR(VLOOKUP(Table26[[#This Row],[SNR]],Deelnemers[#Data],4,0),"")</f>
        <v>Pip</v>
      </c>
      <c r="F11" t="str">
        <f>IFERROR(VLOOKUP(Table26[[#This Row],[SNR]],Deelnemers[#Data],6,0),"")</f>
        <v>Jack Russell Terriër</v>
      </c>
      <c r="G11" s="9">
        <v>16</v>
      </c>
      <c r="H11" s="9"/>
      <c r="I11" s="9"/>
      <c r="J11" s="9"/>
      <c r="K11" s="9"/>
      <c r="L11" s="9" t="s">
        <v>326</v>
      </c>
      <c r="M11" t="str">
        <f>IF(OR(ISNUMBER(SEARCH("Jumping", $C$5)),ISNUMBER(SEARCH("Vast Parcours", $C$5)), ISNUMBER(SEARCH("NKT", $C$5))),IF(OR(Table26[[#This Row],[Disk]]&gt;0,Table26[[#This Row],[W]]&gt;=3,Table26[[#This Row],[Tijd]]&gt;$F$3),"Disk",IF(ISBLANK(Table26[[#This Row],[Tijd]]),"",Table26[[#This Row],[Fouten]]+MAX(0,Table26[[#This Row],[Tijd]]-$F$2))),"-")</f>
        <v>Disk</v>
      </c>
      <c r="N11">
        <f>IFERROR(PRODUCT($F$4,1/Table26[[#This Row],[Tijd]]),0)</f>
        <v>0</v>
      </c>
      <c r="O11">
        <f>SUM(Table26[[#This Row],[W]],Table26[[#This Row],[A]],Table26[[#This Row],[F]])*5</f>
        <v>0</v>
      </c>
      <c r="P11" t="str">
        <f>TEXT(Table26[[#This Row],[Score]],"00,00")&amp;TEXT(Table26[[#This Row],[Fouten]],"00")&amp;TEXT(Table26[[#This Row],[Tijd]],"00,000")</f>
        <v>Disk0000,000</v>
      </c>
      <c r="Q11" t="str">
        <f>IF(IFERROR(VLOOKUP(Table26[[#This Row],[SNR]],Deelnemers[#Data],7,0),0)&lt;&gt;$C$4,"Loopt niet in deze groep!",IF(COUNTIF(Table26[SNR],Table26[[#This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23" priority="2">
      <formula>LEN(TRIM(F1))=0</formula>
    </cfRule>
  </conditionalFormatting>
  <conditionalFormatting sqref="F2:F4">
    <cfRule type="containsBlanks" dxfId="22" priority="1">
      <formula>LEN(TRIM(F2))=0</formula>
    </cfRule>
  </conditionalFormatting>
  <dataValidations count="2">
    <dataValidation type="list" allowBlank="1" showInputMessage="1" showErrorMessage="1" sqref="C4" xr:uid="{00000000-0002-0000-1A00-000000000000}">
      <formula1>GroepLijst</formula1>
    </dataValidation>
    <dataValidation type="list" allowBlank="1" showInputMessage="1" showErrorMessage="1" sqref="F1" xr:uid="{62E4BA58-AAD9-634D-83A3-EAABE3A6033D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Q11"/>
  <sheetViews>
    <sheetView workbookViewId="0">
      <selection activeCell="F2" sqref="F2:F4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7">
        <v>46</v>
      </c>
      <c r="G2" t="s">
        <v>308</v>
      </c>
      <c r="H2" s="12" t="str">
        <f>$C$4</f>
        <v>3ᵉ graad Small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7">
        <v>70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8</v>
      </c>
      <c r="D4" s="13"/>
      <c r="E4" t="s">
        <v>310</v>
      </c>
      <c r="F4" s="7">
        <v>176</v>
      </c>
      <c r="G4" t="s">
        <v>311</v>
      </c>
      <c r="H4" s="12" t="str">
        <f>$C$5</f>
        <v>Vast Parcours 1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324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IFERROR(VLOOKUP(Table27[[#This Row],[SNR]],Deelnemers[#Data],2,0),"")</f>
        <v>433357</v>
      </c>
      <c r="B8">
        <f>IF(VLOOKUP(Table27[[#This Row],[SNR]],Deelnemers[#Data],8,0)&gt;0,"BM",IF(Table27[[#This Row],[Score]]="Disk",0,MATCH(Table27[[#This Row],[Sorteren]],Table27[Sorteren],0)-COUNTIF($B$7:$B7,"BM")))</f>
        <v>1</v>
      </c>
      <c r="D8" t="str">
        <f>IFERROR(VLOOKUP(Table27[[#This Row],[SNR]],Deelnemers[#Data],3,0),"")</f>
        <v>Nicole Schreuder Peters</v>
      </c>
      <c r="E8" t="str">
        <f>IFERROR(VLOOKUP(Table27[[#This Row],[SNR]],Deelnemers[#Data],4,0),"")</f>
        <v>Kiriya</v>
      </c>
      <c r="F8" t="str">
        <f>IFERROR(VLOOKUP(Table27[[#This Row],[SNR]],Deelnemers[#Data],6,0),"")</f>
        <v>toy australian shepherd</v>
      </c>
      <c r="G8">
        <v>14</v>
      </c>
      <c r="H8">
        <v>47.54</v>
      </c>
      <c r="K8">
        <v>1</v>
      </c>
      <c r="M8">
        <f>IF(OR(ISNUMBER(SEARCH("Jumping", $C$5)),ISNUMBER(SEARCH("Vast Parcours", $C$5)), ISNUMBER(SEARCH("NKT", $C$5))),IF(OR(Table27[[#This Row],[Disk]]&gt;0,Table27[[#This Row],[W]]&gt;=3,Table27[[#This Row],[Tijd]]&gt;$F$3),"Disk",IF(ISBLANK(Table27[[#This Row],[Tijd]]),"",Table27[[#This Row],[Fouten]]+MAX(0,Table27[[#This Row],[Tijd]]-$F$2))),"-")</f>
        <v>6.5399999999999991</v>
      </c>
      <c r="N8">
        <f>IFERROR(PRODUCT($F$4,1/Table27[[#This Row],[Tijd]]),0)</f>
        <v>3.7021455616323093</v>
      </c>
      <c r="O8">
        <f>SUM(Table27[[#This Row],[W]],Table27[[#This Row],[A]],Table27[[#This Row],[F]])*5</f>
        <v>5</v>
      </c>
      <c r="P8" t="str">
        <f>TEXT(Table27[[#This Row],[Score]],"00,00")&amp;TEXT(Table27[[#This Row],[Fouten]],"00")&amp;TEXT(Table27[[#This Row],[Tijd]],"00,000")</f>
        <v>06,540547,540</v>
      </c>
      <c r="Q8" t="str">
        <f>IF(IFERROR(VLOOKUP(Table27[[#This Row],[SNR]],Deelnemers[#Data],7,0),0)&lt;&gt;$C$4,"Loopt niet in deze groep!",IF(COUNTIF(Table27[SNR],Table27[[#This Row],[SNR]])&gt;1,"Dubbel",""))</f>
        <v/>
      </c>
    </row>
    <row r="9" spans="1:17" x14ac:dyDescent="0.2">
      <c r="A9">
        <f>IFERROR(VLOOKUP(Table27[[#This Row],[SNR]],Deelnemers[#Data],2,0),"")</f>
        <v>152862</v>
      </c>
      <c r="B9">
        <f ca="1">IF(VLOOKUP(Table27[[#This Row],[SNR]],Deelnemers[#Data],8,0)&gt;0,"BM",IF(Table27[[#This Row],[Score]]="Disk",0,MATCH(Table27[[#This Row],[Sorteren]],Table27[Sorteren],0)-COUNTIF($B$7:$B11,"BM")))</f>
        <v>0</v>
      </c>
      <c r="D9" t="str">
        <f>IFERROR(VLOOKUP(Table27[[#This Row],[SNR]],Deelnemers[#Data],3,0),"")</f>
        <v>Klaas Aalderink</v>
      </c>
      <c r="E9" t="str">
        <f>IFERROR(VLOOKUP(Table27[[#This Row],[SNR]],Deelnemers[#Data],4,0),"")</f>
        <v>Kaycee</v>
      </c>
      <c r="F9" t="str">
        <f>IFERROR(VLOOKUP(Table27[[#This Row],[SNR]],Deelnemers[#Data],6,0),"")</f>
        <v>Shetland Sheepdog</v>
      </c>
      <c r="G9" s="4">
        <v>15</v>
      </c>
      <c r="H9" s="4">
        <v>50.26</v>
      </c>
      <c r="I9" s="4"/>
      <c r="J9" s="4"/>
      <c r="K9" s="4">
        <v>2</v>
      </c>
      <c r="L9" s="4"/>
      <c r="M9">
        <f>IF(OR(ISNUMBER(SEARCH("Jumping", $C$5)),ISNUMBER(SEARCH("Vast Parcours", $C$5)), ISNUMBER(SEARCH("NKT", $C$5))),IF(OR(Table27[[#This Row],[Disk]]&gt;0,Table27[[#This Row],[W]]&gt;=3,Table27[[#This Row],[Tijd]]&gt;$F$3),"Disk",IF(ISBLANK(Table27[[#This Row],[Tijd]]),"",Table27[[#This Row],[Fouten]]+MAX(0,Table27[[#This Row],[Tijd]]-$F$2))),"-")</f>
        <v>14.259999999999998</v>
      </c>
      <c r="N9">
        <f>IFERROR(PRODUCT($F$4,1/Table27[[#This Row],[Tijd]]),0)</f>
        <v>3.5017906884202148</v>
      </c>
      <c r="O9">
        <f>SUM(Table27[[#This Row],[W]],Table27[[#This Row],[A]],Table27[[#This Row],[F]])*5</f>
        <v>10</v>
      </c>
      <c r="P9" t="str">
        <f>TEXT(Table27[[#This Row],[Score]],"00,00")&amp;TEXT(Table27[[#This Row],[Fouten]],"00")&amp;TEXT(Table27[[#This Row],[Tijd]],"00,000")</f>
        <v>14,261050,260</v>
      </c>
      <c r="Q9" t="str">
        <f>IF(IFERROR(VLOOKUP(Table27[[#This Row],[SNR]],Deelnemers[#Data],7,0),0)&lt;&gt;$C$4,"Loopt niet in deze groep!",IF(COUNTIF(Table27[SNR],Table27[[#This Row],[SNR]])&gt;1,"Dubbel",""))</f>
        <v/>
      </c>
    </row>
    <row r="10" spans="1:17" x14ac:dyDescent="0.2">
      <c r="A10">
        <f>IFERROR(VLOOKUP(Table27[[#This Row],[SNR]],Deelnemers[#Data],2,0),"")</f>
        <v>420232</v>
      </c>
      <c r="B10">
        <f>IF(VLOOKUP(Table27[[#This Row],[SNR]],Deelnemers[#Data],8,0)&gt;0,"BM",IF(Table27[[#This Row],[Score]]="Disk",0,MATCH(Table27[[#This Row],[Sorteren]],Table27[Sorteren],0)-COUNTIF($B$7:$B9,"BM")))</f>
        <v>0</v>
      </c>
      <c r="D10" t="str">
        <f>IFERROR(VLOOKUP(Table27[[#This Row],[SNR]],Deelnemers[#Data],3,0),"")</f>
        <v>Margreet Osinga-Ijpma</v>
      </c>
      <c r="E10" t="str">
        <f>IFERROR(VLOOKUP(Table27[[#This Row],[SNR]],Deelnemers[#Data],4,0),"")</f>
        <v>Pip</v>
      </c>
      <c r="F10" t="str">
        <f>IFERROR(VLOOKUP(Table27[[#This Row],[SNR]],Deelnemers[#Data],6,0),"")</f>
        <v>Jack Russell Terriër</v>
      </c>
      <c r="G10" s="4">
        <v>16</v>
      </c>
      <c r="H10" s="4"/>
      <c r="I10" s="4"/>
      <c r="J10" s="4"/>
      <c r="K10" s="4"/>
      <c r="L10" s="4" t="s">
        <v>326</v>
      </c>
      <c r="M10" t="str">
        <f>IF(OR(ISNUMBER(SEARCH("Jumping", $C$5)),ISNUMBER(SEARCH("Vast Parcours", $C$5)), ISNUMBER(SEARCH("NKT", $C$5))),IF(OR(Table27[[#This Row],[Disk]]&gt;0,Table27[[#This Row],[W]]&gt;=3,Table27[[#This Row],[Tijd]]&gt;$F$3),"Disk",IF(ISBLANK(Table27[[#This Row],[Tijd]]),"",Table27[[#This Row],[Fouten]]+MAX(0,Table27[[#This Row],[Tijd]]-$F$2))),"-")</f>
        <v>Disk</v>
      </c>
      <c r="N10">
        <f>IFERROR(PRODUCT($F$4,1/Table27[[#This Row],[Tijd]]),0)</f>
        <v>0</v>
      </c>
      <c r="O10">
        <f>SUM(Table27[[#This Row],[W]],Table27[[#This Row],[A]],Table27[[#This Row],[F]])*5</f>
        <v>0</v>
      </c>
      <c r="P10" t="str">
        <f>TEXT(Table27[[#This Row],[Score]],"00,00")&amp;TEXT(Table27[[#This Row],[Fouten]],"00")&amp;TEXT(Table27[[#This Row],[Tijd]],"00,000")</f>
        <v>Disk0000,000</v>
      </c>
      <c r="Q10" t="str">
        <f>IF(IFERROR(VLOOKUP(Table27[[#This Row],[SNR]],Deelnemers[#Data],7,0),0)&lt;&gt;$C$4,"Loopt niet in deze groep!",IF(COUNTIF(Table27[SNR],Table27[[#This Row],[SNR]])&gt;1,"Dubbel",""))</f>
        <v/>
      </c>
    </row>
    <row r="11" spans="1:17" x14ac:dyDescent="0.2">
      <c r="A11">
        <f>IFERROR(VLOOKUP(Table27[[#This Row],[SNR]],Deelnemers[#Data],2,0),"")</f>
        <v>144495</v>
      </c>
      <c r="B11">
        <f>IF(VLOOKUP(Table27[[#This Row],[SNR]],Deelnemers[#Data],8,0)&gt;0,"BM",IF(Table27[[#This Row],[Score]]="Disk",0,MATCH(Table27[[#This Row],[Sorteren]],Table27[Sorteren],0)-COUNTIF($B$7:$B10,"BM")))</f>
        <v>0</v>
      </c>
      <c r="D11" t="str">
        <f>IFERROR(VLOOKUP(Table27[[#This Row],[SNR]],Deelnemers[#Data],3,0),"")</f>
        <v>Bert Doppenberg</v>
      </c>
      <c r="E11" t="str">
        <f>IFERROR(VLOOKUP(Table27[[#This Row],[SNR]],Deelnemers[#Data],4,0),"")</f>
        <v>Kruimel</v>
      </c>
      <c r="F11" t="str">
        <f>IFERROR(VLOOKUP(Table27[[#This Row],[SNR]],Deelnemers[#Data],6,0),"")</f>
        <v>jack russell / yorkshire terriër</v>
      </c>
      <c r="G11" s="4">
        <v>17</v>
      </c>
      <c r="H11" s="4"/>
      <c r="I11" s="4"/>
      <c r="J11" s="4"/>
      <c r="K11" s="4"/>
      <c r="L11" s="4" t="s">
        <v>326</v>
      </c>
      <c r="M11" t="str">
        <f>IF(OR(ISNUMBER(SEARCH("Jumping", $C$5)),ISNUMBER(SEARCH("Vast Parcours", $C$5)), ISNUMBER(SEARCH("NKT", $C$5))),IF(OR(Table27[[#This Row],[Disk]]&gt;0,Table27[[#This Row],[W]]&gt;=3,Table27[[#This Row],[Tijd]]&gt;$F$3),"Disk",IF(ISBLANK(Table27[[#This Row],[Tijd]]),"",Table27[[#This Row],[Fouten]]+MAX(0,Table27[[#This Row],[Tijd]]-$F$2))),"-")</f>
        <v>Disk</v>
      </c>
      <c r="N11">
        <f>IFERROR(PRODUCT($F$4,1/Table27[[#This Row],[Tijd]]),0)</f>
        <v>0</v>
      </c>
      <c r="O11">
        <f>SUM(Table27[[#This Row],[W]],Table27[[#This Row],[A]],Table27[[#This Row],[F]])*5</f>
        <v>0</v>
      </c>
      <c r="P11" t="str">
        <f>TEXT(Table27[[#This Row],[Score]],"00,00")&amp;TEXT(Table27[[#This Row],[Fouten]],"00")&amp;TEXT(Table27[[#This Row],[Tijd]],"00,000")</f>
        <v>Disk0000,000</v>
      </c>
      <c r="Q11" t="str">
        <f>IF(IFERROR(VLOOKUP(Table27[[#This Row],[SNR]],Deelnemers[#Data],7,0),0)&lt;&gt;$C$4,"Loopt niet in deze groep!",IF(COUNTIF(Table27[SNR],Table27[[#This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5" priority="1">
      <formula>LEN(TRIM(F1))=0</formula>
    </cfRule>
  </conditionalFormatting>
  <dataValidations count="2">
    <dataValidation type="list" allowBlank="1" showInputMessage="1" showErrorMessage="1" sqref="C4" xr:uid="{00000000-0002-0000-1B00-000000000000}">
      <formula1>GroepLijst</formula1>
    </dataValidation>
    <dataValidation type="list" allowBlank="1" showInputMessage="1" showErrorMessage="1" sqref="F1" xr:uid="{6B751663-E62C-9349-A50E-4A64365EC4D8}">
      <formula1>KeurmeesterLijst</formula1>
    </dataValidation>
  </dataValidations>
  <pageMargins left="0.7" right="0.7" top="0.75" bottom="0.75" header="0.3" footer="0.3"/>
  <pageSetup paperSize="9" fitToHeight="0" orientation="portrait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Q11"/>
  <sheetViews>
    <sheetView workbookViewId="0">
      <selection activeCell="G12" sqref="G12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7">
        <v>45</v>
      </c>
      <c r="G2" t="s">
        <v>308</v>
      </c>
      <c r="H2" s="12" t="str">
        <f>$C$4</f>
        <v>3ᵉ graad Small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7">
        <v>74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8</v>
      </c>
      <c r="D4" s="13"/>
      <c r="E4" t="s">
        <v>310</v>
      </c>
      <c r="F4" s="7">
        <v>176</v>
      </c>
      <c r="G4" t="s">
        <v>311</v>
      </c>
      <c r="H4" s="12" t="str">
        <f>$C$5</f>
        <v>Vast Parcours 2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IFERROR(VLOOKUP(Table28[[#This Row],[SNR]],Deelnemers[#Data],2,0),"")</f>
        <v>152862</v>
      </c>
      <c r="B8">
        <f>IF(VLOOKUP(Table28[[#This Row],[SNR]],Deelnemers[#Data],8,0)&gt;0,"BM",IF(Table28[[#This Row],[Score]]="Disk",0,MATCH(Table28[[#This Row],[Sorteren]],Table28[Sorteren],0)-COUNTIF($B$7:$B7,"BM")))</f>
        <v>1</v>
      </c>
      <c r="D8" t="str">
        <f>IFERROR(VLOOKUP(Table28[[#This Row],[SNR]],Deelnemers[#Data],3,0),"")</f>
        <v>Klaas Aalderink</v>
      </c>
      <c r="E8" t="str">
        <f>IFERROR(VLOOKUP(Table28[[#This Row],[SNR]],Deelnemers[#Data],4,0),"")</f>
        <v>Kaycee</v>
      </c>
      <c r="F8" t="str">
        <f>IFERROR(VLOOKUP(Table28[[#This Row],[SNR]],Deelnemers[#Data],6,0),"")</f>
        <v>Shetland Sheepdog</v>
      </c>
      <c r="G8" s="8">
        <v>15</v>
      </c>
      <c r="H8" s="8">
        <v>46.5</v>
      </c>
      <c r="I8" s="8"/>
      <c r="J8" s="8"/>
      <c r="K8" s="8"/>
      <c r="L8" s="8"/>
      <c r="M8">
        <f>IF(OR(ISNUMBER(SEARCH("Jumping", $C$5)),ISNUMBER(SEARCH("Vast Parcours", $C$5)), ISNUMBER(SEARCH("NKT", $C$5))),IF(OR(Table28[[#This Row],[Disk]]&gt;0,Table28[[#This Row],[W]]&gt;=3,Table28[[#This Row],[Tijd]]&gt;$F$3),"Disk",IF(ISBLANK(Table28[[#This Row],[Tijd]]),"",Table28[[#This Row],[Fouten]]+MAX(0,Table28[[#This Row],[Tijd]]-$F$2))),"-")</f>
        <v>1.5</v>
      </c>
      <c r="N8">
        <f>IFERROR(PRODUCT($F$4,1/Table28[[#This Row],[Tijd]]),0)</f>
        <v>3.78494623655914</v>
      </c>
      <c r="O8">
        <f>SUM(Table28[[#This Row],[W]],Table28[[#This Row],[A]],Table28[[#This Row],[F]])*5</f>
        <v>0</v>
      </c>
      <c r="P8" t="str">
        <f>TEXT(Table28[[#This Row],[Score]],"00,00")&amp;TEXT(Table28[[#This Row],[Fouten]],"00")&amp;TEXT(Table28[[#This Row],[Tijd]],"00,000")</f>
        <v>01,500046,500</v>
      </c>
      <c r="Q8" t="str">
        <f>IF(IFERROR(VLOOKUP(Table28[[#This Row],[SNR]],Deelnemers[#Data],7,0),0)&lt;&gt;$C$4,"Loopt niet in deze groep!",IF(COUNTIF(Table28[SNR],Table28[[#This Row],[SNR]])&gt;1,"Dubbel",""))</f>
        <v/>
      </c>
    </row>
    <row r="9" spans="1:17" x14ac:dyDescent="0.2">
      <c r="A9">
        <f>IFERROR(VLOOKUP(Table28[[#This Row],[SNR]],Deelnemers[#Data],2,0),"")</f>
        <v>144495</v>
      </c>
      <c r="B9">
        <f>IF(VLOOKUP(Table28[[#This Row],[SNR]],Deelnemers[#Data],8,0)&gt;0,"BM",IF(Table28[[#This Row],[Score]]="Disk",0,MATCH(Table28[[#This Row],[Sorteren]],Table28[Sorteren],0)-COUNTIF($B$7:$B8,"BM")))</f>
        <v>2</v>
      </c>
      <c r="D9" t="str">
        <f>IFERROR(VLOOKUP(Table28[[#This Row],[SNR]],Deelnemers[#Data],3,0),"")</f>
        <v>Bert Doppenberg</v>
      </c>
      <c r="E9" t="str">
        <f>IFERROR(VLOOKUP(Table28[[#This Row],[SNR]],Deelnemers[#Data],4,0),"")</f>
        <v>Kruimel</v>
      </c>
      <c r="F9" t="str">
        <f>IFERROR(VLOOKUP(Table28[[#This Row],[SNR]],Deelnemers[#Data],6,0),"")</f>
        <v>jack russell / yorkshire terriër</v>
      </c>
      <c r="G9" s="8">
        <v>17</v>
      </c>
      <c r="H9" s="8">
        <v>46.02</v>
      </c>
      <c r="I9" s="8">
        <v>1</v>
      </c>
      <c r="J9" s="8"/>
      <c r="K9" s="8"/>
      <c r="L9" s="8"/>
      <c r="M9">
        <f>IF(OR(ISNUMBER(SEARCH("Jumping", $C$5)),ISNUMBER(SEARCH("Vast Parcours", $C$5)), ISNUMBER(SEARCH("NKT", $C$5))),IF(OR(Table28[[#This Row],[Disk]]&gt;0,Table28[[#This Row],[W]]&gt;=3,Table28[[#This Row],[Tijd]]&gt;$F$3),"Disk",IF(ISBLANK(Table28[[#This Row],[Tijd]]),"",Table28[[#This Row],[Fouten]]+MAX(0,Table28[[#This Row],[Tijd]]-$F$2))),"-")</f>
        <v>6.0200000000000031</v>
      </c>
      <c r="N9">
        <f>IFERROR(PRODUCT($F$4,1/Table28[[#This Row],[Tijd]]),0)</f>
        <v>3.824424163407214</v>
      </c>
      <c r="O9">
        <f>SUM(Table28[[#This Row],[W]],Table28[[#This Row],[A]],Table28[[#This Row],[F]])*5</f>
        <v>5</v>
      </c>
      <c r="P9" t="str">
        <f>TEXT(Table28[[#This Row],[Score]],"00,00")&amp;TEXT(Table28[[#This Row],[Fouten]],"00")&amp;TEXT(Table28[[#This Row],[Tijd]],"00,000")</f>
        <v>06,020546,020</v>
      </c>
      <c r="Q9" t="str">
        <f>IF(IFERROR(VLOOKUP(Table28[[#This Row],[SNR]],Deelnemers[#Data],7,0),0)&lt;&gt;$C$4,"Loopt niet in deze groep!",IF(COUNTIF(Table28[SNR],Table28[[#This Row],[SNR]])&gt;1,"Dubbel",""))</f>
        <v/>
      </c>
    </row>
    <row r="10" spans="1:17" x14ac:dyDescent="0.2">
      <c r="A10">
        <f>IFERROR(VLOOKUP(Table28[[#This Row],[SNR]],Deelnemers[#Data],2,0),"")</f>
        <v>433357</v>
      </c>
      <c r="B10">
        <f>IF(VLOOKUP(Table28[[#This Row],[SNR]],Deelnemers[#Data],8,0)&gt;0,"BM",IF(Table28[[#This Row],[Score]]="Disk",0,MATCH(Table28[[#This Row],[Sorteren]],Table28[Sorteren],0)-COUNTIF($B$7:$B9,"BM")))</f>
        <v>0</v>
      </c>
      <c r="D10" t="str">
        <f>IFERROR(VLOOKUP(Table28[[#This Row],[SNR]],Deelnemers[#Data],3,0),"")</f>
        <v>Nicole Schreuder Peters</v>
      </c>
      <c r="E10" t="str">
        <f>IFERROR(VLOOKUP(Table28[[#This Row],[SNR]],Deelnemers[#Data],4,0),"")</f>
        <v>Kiriya</v>
      </c>
      <c r="F10" t="str">
        <f>IFERROR(VLOOKUP(Table28[[#This Row],[SNR]],Deelnemers[#Data],6,0),"")</f>
        <v>toy australian shepherd</v>
      </c>
      <c r="G10">
        <v>14</v>
      </c>
      <c r="L10" t="s">
        <v>326</v>
      </c>
      <c r="M10" t="str">
        <f>IF(OR(ISNUMBER(SEARCH("Jumping", $C$5)),ISNUMBER(SEARCH("Vast Parcours", $C$5)), ISNUMBER(SEARCH("NKT", $C$5))),IF(OR(Table28[[#This Row],[Disk]]&gt;0,Table28[[#This Row],[W]]&gt;=3,Table28[[#This Row],[Tijd]]&gt;$F$3),"Disk",IF(ISBLANK(Table28[[#This Row],[Tijd]]),"",Table28[[#This Row],[Fouten]]+MAX(0,Table28[[#This Row],[Tijd]]-$F$2))),"-")</f>
        <v>Disk</v>
      </c>
      <c r="N10">
        <f>IFERROR(PRODUCT($F$4,1/Table28[[#This Row],[Tijd]]),0)</f>
        <v>0</v>
      </c>
      <c r="O10">
        <f>SUM(Table28[[#This Row],[W]],Table28[[#This Row],[A]],Table28[[#This Row],[F]])*5</f>
        <v>0</v>
      </c>
      <c r="P10" t="str">
        <f>TEXT(Table28[[#This Row],[Score]],"00,00")&amp;TEXT(Table28[[#This Row],[Fouten]],"00")&amp;TEXT(Table28[[#This Row],[Tijd]],"00,000")</f>
        <v>Disk0000,000</v>
      </c>
      <c r="Q10" t="str">
        <f>IF(IFERROR(VLOOKUP(Table28[[#This Row],[SNR]],Deelnemers[#Data],7,0),0)&lt;&gt;$C$4,"Loopt niet in deze groep!",IF(COUNTIF(Table28[SNR],Table28[[#This Row],[SNR]])&gt;1,"Dubbel",""))</f>
        <v/>
      </c>
    </row>
    <row r="11" spans="1:17" x14ac:dyDescent="0.2">
      <c r="A11">
        <f>IFERROR(VLOOKUP(Table28[[#This Row],[SNR]],Deelnemers[#Data],2,0),"")</f>
        <v>420232</v>
      </c>
      <c r="B11">
        <f>IF(VLOOKUP(Table28[[#This Row],[SNR]],Deelnemers[#Data],8,0)&gt;0,"BM",IF(Table28[[#This Row],[Score]]="Disk",0,MATCH(Table28[[#This Row],[Sorteren]],Table28[Sorteren],0)-COUNTIF($B$7:$B10,"BM")))</f>
        <v>0</v>
      </c>
      <c r="D11" t="str">
        <f>IFERROR(VLOOKUP(Table28[[#This Row],[SNR]],Deelnemers[#Data],3,0),"")</f>
        <v>Margreet Osinga-Ijpma</v>
      </c>
      <c r="E11" t="str">
        <f>IFERROR(VLOOKUP(Table28[[#This Row],[SNR]],Deelnemers[#Data],4,0),"")</f>
        <v>Pip</v>
      </c>
      <c r="F11" t="str">
        <f>IFERROR(VLOOKUP(Table28[[#This Row],[SNR]],Deelnemers[#Data],6,0),"")</f>
        <v>Jack Russell Terriër</v>
      </c>
      <c r="G11" s="8">
        <v>16</v>
      </c>
      <c r="H11" s="8"/>
      <c r="I11" s="8"/>
      <c r="J11" s="8"/>
      <c r="K11" s="8"/>
      <c r="L11" s="8" t="s">
        <v>326</v>
      </c>
      <c r="M11" t="str">
        <f>IF(OR(ISNUMBER(SEARCH("Jumping", $C$5)),ISNUMBER(SEARCH("Vast Parcours", $C$5)), ISNUMBER(SEARCH("NKT", $C$5))),IF(OR(Table28[[#This Row],[Disk]]&gt;0,Table28[[#This Row],[W]]&gt;=3,Table28[[#This Row],[Tijd]]&gt;$F$3),"Disk",IF(ISBLANK(Table28[[#This Row],[Tijd]]),"",Table28[[#This Row],[Fouten]]+MAX(0,Table28[[#This Row],[Tijd]]-$F$2))),"-")</f>
        <v>Disk</v>
      </c>
      <c r="N11">
        <f>IFERROR(PRODUCT($F$4,1/Table28[[#This Row],[Tijd]]),0)</f>
        <v>0</v>
      </c>
      <c r="O11">
        <f>SUM(Table28[[#This Row],[W]],Table28[[#This Row],[A]],Table28[[#This Row],[F]])*5</f>
        <v>0</v>
      </c>
      <c r="P11" t="str">
        <f>TEXT(Table28[[#This Row],[Score]],"00,00")&amp;TEXT(Table28[[#This Row],[Fouten]],"00")&amp;TEXT(Table28[[#This Row],[Tijd]],"00,000")</f>
        <v>Disk0000,000</v>
      </c>
      <c r="Q11" t="str">
        <f>IF(IFERROR(VLOOKUP(Table28[[#This Row],[SNR]],Deelnemers[#Data],7,0),0)&lt;&gt;$C$4,"Loopt niet in deze groep!",IF(COUNTIF(Table28[SNR],Table28[[#This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8" priority="1">
      <formula>LEN(TRIM(F1))=0</formula>
    </cfRule>
  </conditionalFormatting>
  <dataValidations count="2">
    <dataValidation type="list" allowBlank="1" showInputMessage="1" showErrorMessage="1" sqref="C4" xr:uid="{00000000-0002-0000-1C00-000000000000}">
      <formula1>GroepLijst</formula1>
    </dataValidation>
    <dataValidation type="list" allowBlank="1" showInputMessage="1" showErrorMessage="1" sqref="F1" xr:uid="{EC699B5F-784E-B64B-8C4A-5EE3DBFF65C6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5"/>
  <sheetViews>
    <sheetView topLeftCell="A6" zoomScale="116" workbookViewId="0">
      <selection activeCell="L12" sqref="L12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3">
        <v>42</v>
      </c>
      <c r="G2" t="s">
        <v>308</v>
      </c>
      <c r="H2" s="12" t="str">
        <f>$C$4</f>
        <v>1ᵉ graad Large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3">
        <v>64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0</v>
      </c>
      <c r="D4" s="13"/>
      <c r="E4" t="s">
        <v>310</v>
      </c>
      <c r="F4" s="3">
        <v>141</v>
      </c>
      <c r="G4" t="s">
        <v>311</v>
      </c>
      <c r="H4" s="12" t="str">
        <f>$C$5</f>
        <v>Jumping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305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IFERROR(VLOOKUP(Table2[[#This Row],[SNR]],Deelnemers[#Data],2,0),"")</f>
        <v>183911</v>
      </c>
      <c r="B8">
        <f>IF(VLOOKUP(Table2[[#This Row],[SNR]],Deelnemers[#Data],8,0)&gt;0,"BM",IF(Table2[[#This Row],[Score]]="Disk",0,MATCH(Table2[[#This Row],[Sorteren]],Table2[Sorteren],0)-COUNTIF($B$7:$B7,"BM")))</f>
        <v>1</v>
      </c>
      <c r="D8" t="str">
        <f>IFERROR(VLOOKUP(Table2[[#This Row],[SNR]],Deelnemers[#Data],3,0),"")</f>
        <v>Jolanda Eiling</v>
      </c>
      <c r="E8" t="str">
        <f>IFERROR(VLOOKUP(Table2[[#This Row],[SNR]],Deelnemers[#Data],4,0),"")</f>
        <v>Danica</v>
      </c>
      <c r="F8" t="str">
        <f>IFERROR(VLOOKUP(Table2[[#This Row],[SNR]],Deelnemers[#Data],6,0),"")</f>
        <v>Poedel, Standaard (Zwart)</v>
      </c>
      <c r="G8" s="11">
        <v>76</v>
      </c>
      <c r="H8" s="11">
        <v>30.66</v>
      </c>
      <c r="I8" s="11"/>
      <c r="J8" s="11"/>
      <c r="K8" s="11"/>
      <c r="L8" s="11"/>
      <c r="M8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0</v>
      </c>
      <c r="N8">
        <f>IFERROR(PRODUCT($F$4,1/Table2[[#This Row],[Tijd]]),0)</f>
        <v>4.5988258317025439</v>
      </c>
      <c r="O8">
        <f>SUM(Table2[[#This Row],[W]],Table2[[#This Row],[A]],Table2[[#This Row],[F]])*5</f>
        <v>0</v>
      </c>
      <c r="P8" t="str">
        <f>TEXT(Table2[[#This Row],[Score]],"00,00")&amp;TEXT(Table2[[#This Row],[Fouten]],"00")&amp;TEXT(Table2[[#This Row],[Tijd]],"00,000")</f>
        <v>00,000030,660</v>
      </c>
      <c r="Q8" t="str">
        <f>IF(IFERROR(VLOOKUP(Table2[[#This Row],[SNR]],Deelnemers[#Data],7,0),0)&lt;&gt;$C$4,"Loopt niet in deze groep!",IF(COUNTIF(Table2[SNR],Table2[[#This Row],[SNR]])&gt;1,"Dubbel",""))</f>
        <v/>
      </c>
    </row>
    <row r="9" spans="1:17" x14ac:dyDescent="0.2">
      <c r="A9">
        <f>IFERROR(VLOOKUP(Table2[[#This Row],[SNR]],Deelnemers[#Data],2,0),"")</f>
        <v>172596</v>
      </c>
      <c r="B9">
        <f>IF(VLOOKUP(Table2[[#This Row],[SNR]],Deelnemers[#Data],8,0)&gt;0,"BM",IF(Table2[[#This Row],[Score]]="Disk",0,MATCH(Table2[[#This Row],[Sorteren]],Table2[Sorteren],0)-COUNTIF($B$7:$B8,"BM")))</f>
        <v>2</v>
      </c>
      <c r="D9" t="str">
        <f>IFERROR(VLOOKUP(Table2[[#This Row],[SNR]],Deelnemers[#Data],3,0),"")</f>
        <v>Alida Wekema-Torensma</v>
      </c>
      <c r="E9" t="str">
        <f>IFERROR(VLOOKUP(Table2[[#This Row],[SNR]],Deelnemers[#Data],4,0),"")</f>
        <v>Mailo</v>
      </c>
      <c r="F9" t="str">
        <f>IFERROR(VLOOKUP(Table2[[#This Row],[SNR]],Deelnemers[#Data],6,0),"")</f>
        <v>Nova Scotia Duck Tolling Retriever</v>
      </c>
      <c r="G9" s="11">
        <v>77</v>
      </c>
      <c r="H9" s="11">
        <v>30.82</v>
      </c>
      <c r="I9" s="11"/>
      <c r="J9" s="11"/>
      <c r="K9" s="11"/>
      <c r="L9" s="11"/>
      <c r="M9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0</v>
      </c>
      <c r="N9">
        <f>IFERROR(PRODUCT($F$4,1/Table2[[#This Row],[Tijd]]),0)</f>
        <v>4.5749513303049971</v>
      </c>
      <c r="O9">
        <f>SUM(Table2[[#This Row],[W]],Table2[[#This Row],[A]],Table2[[#This Row],[F]])*5</f>
        <v>0</v>
      </c>
      <c r="P9" t="str">
        <f>TEXT(Table2[[#This Row],[Score]],"00,00")&amp;TEXT(Table2[[#This Row],[Fouten]],"00")&amp;TEXT(Table2[[#This Row],[Tijd]],"00,000")</f>
        <v>00,000030,820</v>
      </c>
      <c r="Q9" t="str">
        <f>IF(IFERROR(VLOOKUP(Table2[[#This Row],[SNR]],Deelnemers[#Data],7,0),0)&lt;&gt;$C$4,"Loopt niet in deze groep!",IF(COUNTIF(Table2[SNR],Table2[[#This Row],[SNR]])&gt;1,"Dubbel",""))</f>
        <v/>
      </c>
    </row>
    <row r="10" spans="1:17" x14ac:dyDescent="0.2">
      <c r="A10">
        <f>IFERROR(VLOOKUP(Table2[[#This Row],[SNR]],Deelnemers[#Data],2,0),"")</f>
        <v>183032</v>
      </c>
      <c r="B10">
        <f>IF(VLOOKUP(Table2[[#This Row],[SNR]],Deelnemers[#Data],8,0)&gt;0,"BM",IF(Table2[[#This Row],[Score]]="Disk",0,MATCH(Table2[[#This Row],[Sorteren]],Table2[Sorteren],0)-COUNTIF($B$7:$B9,"BM")))</f>
        <v>3</v>
      </c>
      <c r="D10" t="str">
        <f>IFERROR(VLOOKUP(Table2[[#This Row],[SNR]],Deelnemers[#Data],3,0),"")</f>
        <v>Marjolein van Sprang</v>
      </c>
      <c r="E10" t="str">
        <f>IFERROR(VLOOKUP(Table2[[#This Row],[SNR]],Deelnemers[#Data],4,0),"")</f>
        <v>Groovy</v>
      </c>
      <c r="F10" t="str">
        <f>IFERROR(VLOOKUP(Table2[[#This Row],[SNR]],Deelnemers[#Data],6,0),"")</f>
        <v>Belgische Herdershond, Groenendaeler</v>
      </c>
      <c r="G10" s="11">
        <v>95</v>
      </c>
      <c r="H10" s="11">
        <v>31.15</v>
      </c>
      <c r="I10" s="11"/>
      <c r="J10" s="11"/>
      <c r="K10" s="11"/>
      <c r="L10" s="11"/>
      <c r="M10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0</v>
      </c>
      <c r="N10">
        <f>IFERROR(PRODUCT($F$4,1/Table2[[#This Row],[Tijd]]),0)</f>
        <v>4.5264847512038529</v>
      </c>
      <c r="O10">
        <f>SUM(Table2[[#This Row],[W]],Table2[[#This Row],[A]],Table2[[#This Row],[F]])*5</f>
        <v>0</v>
      </c>
      <c r="P10" t="str">
        <f>TEXT(Table2[[#This Row],[Score]],"00,00")&amp;TEXT(Table2[[#This Row],[Fouten]],"00")&amp;TEXT(Table2[[#This Row],[Tijd]],"00,000")</f>
        <v>00,000031,150</v>
      </c>
      <c r="Q10" t="str">
        <f>IF(IFERROR(VLOOKUP(Table2[[#This Row],[SNR]],Deelnemers[#Data],7,0),0)&lt;&gt;$C$4,"Loopt niet in deze groep!",IF(COUNTIF(Table2[SNR],Table2[[#This Row],[SNR]])&gt;1,"Dubbel",""))</f>
        <v/>
      </c>
    </row>
    <row r="11" spans="1:17" x14ac:dyDescent="0.2">
      <c r="A11">
        <f>IFERROR(VLOOKUP(Table2[[#This Row],[SNR]],Deelnemers[#Data],2,0),"")</f>
        <v>184527</v>
      </c>
      <c r="B11">
        <f>IF(VLOOKUP(Table2[[#This Row],[SNR]],Deelnemers[#Data],8,0)&gt;0,"BM",IF(Table2[[#This Row],[Score]]="Disk",0,MATCH(Table2[[#This Row],[Sorteren]],Table2[Sorteren],0)-COUNTIF($B$7:$B10,"BM")))</f>
        <v>4</v>
      </c>
      <c r="D11" t="str">
        <f>IFERROR(VLOOKUP(Table2[[#This Row],[SNR]],Deelnemers[#Data],3,0),"")</f>
        <v>Truus Voshart</v>
      </c>
      <c r="E11" t="str">
        <f>IFERROR(VLOOKUP(Table2[[#This Row],[SNR]],Deelnemers[#Data],4,0),"")</f>
        <v>Lilly</v>
      </c>
      <c r="F11" t="str">
        <f>IFERROR(VLOOKUP(Table2[[#This Row],[SNR]],Deelnemers[#Data],6,0),"")</f>
        <v>Border Collie</v>
      </c>
      <c r="G11" s="11">
        <v>93</v>
      </c>
      <c r="H11" s="11">
        <v>31.94</v>
      </c>
      <c r="I11" s="11"/>
      <c r="J11" s="11"/>
      <c r="K11" s="11"/>
      <c r="L11" s="11"/>
      <c r="M11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0</v>
      </c>
      <c r="N11">
        <f>IFERROR(PRODUCT($F$4,1/Table2[[#This Row],[Tijd]]),0)</f>
        <v>4.4145272385723233</v>
      </c>
      <c r="O11">
        <f>SUM(Table2[[#This Row],[W]],Table2[[#This Row],[A]],Table2[[#This Row],[F]])*5</f>
        <v>0</v>
      </c>
      <c r="P11" t="str">
        <f>TEXT(Table2[[#This Row],[Score]],"00,00")&amp;TEXT(Table2[[#This Row],[Fouten]],"00")&amp;TEXT(Table2[[#This Row],[Tijd]],"00,000")</f>
        <v>00,000031,940</v>
      </c>
      <c r="Q11" t="str">
        <f>IF(IFERROR(VLOOKUP(Table2[[#This Row],[SNR]],Deelnemers[#Data],7,0),0)&lt;&gt;$C$4,"Loopt niet in deze groep!",IF(COUNTIF(Table2[SNR],Table2[[#This Row],[SNR]])&gt;1,"Dubbel",""))</f>
        <v/>
      </c>
    </row>
    <row r="12" spans="1:17" x14ac:dyDescent="0.2">
      <c r="A12">
        <f>IFERROR(VLOOKUP(Table2[[#This Row],[SNR]],Deelnemers[#Data],2,0),"")</f>
        <v>174742</v>
      </c>
      <c r="B12">
        <f>IF(VLOOKUP(Table2[[#This Row],[SNR]],Deelnemers[#Data],8,0)&gt;0,"BM",IF(Table2[[#This Row],[Score]]="Disk",0,MATCH(Table2[[#This Row],[Sorteren]],Table2[Sorteren],0)-COUNTIF($B$7:$B11,"BM")))</f>
        <v>5</v>
      </c>
      <c r="D12" t="str">
        <f>IFERROR(VLOOKUP(Table2[[#This Row],[SNR]],Deelnemers[#Data],3,0),"")</f>
        <v>Lenie Henrion Verpoorten</v>
      </c>
      <c r="E12" t="str">
        <f>IFERROR(VLOOKUP(Table2[[#This Row],[SNR]],Deelnemers[#Data],4,0),"")</f>
        <v>Brann</v>
      </c>
      <c r="F12" t="str">
        <f>IFERROR(VLOOKUP(Table2[[#This Row],[SNR]],Deelnemers[#Data],6,0),"")</f>
        <v>Australian Shepherd</v>
      </c>
      <c r="G12">
        <v>71</v>
      </c>
      <c r="H12">
        <v>43.33</v>
      </c>
      <c r="M12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1.3299999999999983</v>
      </c>
      <c r="N12">
        <f>IFERROR(PRODUCT($F$4,1/Table2[[#This Row],[Tijd]]),0)</f>
        <v>3.2540964689591507</v>
      </c>
      <c r="O12">
        <f>SUM(Table2[[#This Row],[W]],Table2[[#This Row],[A]],Table2[[#This Row],[F]])*5</f>
        <v>0</v>
      </c>
      <c r="P12" t="str">
        <f>TEXT(Table2[[#This Row],[Score]],"00,00")&amp;TEXT(Table2[[#This Row],[Fouten]],"00")&amp;TEXT(Table2[[#This Row],[Tijd]],"00,000")</f>
        <v>01,330043,330</v>
      </c>
      <c r="Q12" t="str">
        <f>IF(IFERROR(VLOOKUP(Table2[[#This Row],[SNR]],Deelnemers[#Data],7,0),0)&lt;&gt;$C$4,"Loopt niet in deze groep!",IF(COUNTIF(Table2[SNR],Table2[[#This Row],[SNR]])&gt;1,"Dubbel",""))</f>
        <v/>
      </c>
    </row>
    <row r="13" spans="1:17" x14ac:dyDescent="0.2">
      <c r="A13">
        <f>IFERROR(VLOOKUP(Table2[[#This Row],[SNR]],Deelnemers[#Data],2,0),"")</f>
        <v>172766</v>
      </c>
      <c r="B13">
        <f>IF(VLOOKUP(Table2[[#This Row],[SNR]],Deelnemers[#Data],8,0)&gt;0,"BM",IF(Table2[[#This Row],[Score]]="Disk",0,MATCH(Table2[[#This Row],[Sorteren]],Table2[Sorteren],0)-COUNTIF($B$7:$B12,"BM")))</f>
        <v>6</v>
      </c>
      <c r="D13" t="str">
        <f>IFERROR(VLOOKUP(Table2[[#This Row],[SNR]],Deelnemers[#Data],3,0),"")</f>
        <v>Kim Verkade</v>
      </c>
      <c r="E13" t="str">
        <f>IFERROR(VLOOKUP(Table2[[#This Row],[SNR]],Deelnemers[#Data],4,0),"")</f>
        <v>Zeno</v>
      </c>
      <c r="F13" t="str">
        <f>IFERROR(VLOOKUP(Table2[[#This Row],[SNR]],Deelnemers[#Data],6,0),"")</f>
        <v>Border Collie</v>
      </c>
      <c r="G13" s="11">
        <v>83</v>
      </c>
      <c r="H13" s="11">
        <v>33.520000000000003</v>
      </c>
      <c r="I13" s="11"/>
      <c r="J13" s="11"/>
      <c r="K13" s="11">
        <v>1</v>
      </c>
      <c r="L13" s="11"/>
      <c r="M13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5</v>
      </c>
      <c r="N13">
        <f>IFERROR(PRODUCT($F$4,1/Table2[[#This Row],[Tijd]]),0)</f>
        <v>4.2064439140811452</v>
      </c>
      <c r="O13">
        <f>SUM(Table2[[#This Row],[W]],Table2[[#This Row],[A]],Table2[[#This Row],[F]])*5</f>
        <v>5</v>
      </c>
      <c r="P13" t="str">
        <f>TEXT(Table2[[#This Row],[Score]],"00,00")&amp;TEXT(Table2[[#This Row],[Fouten]],"00")&amp;TEXT(Table2[[#This Row],[Tijd]],"00,000")</f>
        <v>05,000533,520</v>
      </c>
      <c r="Q13" t="str">
        <f>IF(IFERROR(VLOOKUP(Table2[[#This Row],[SNR]],Deelnemers[#Data],7,0),0)&lt;&gt;$C$4,"Loopt niet in deze groep!",IF(COUNTIF(Table2[SNR],Table2[[#This Row],[SNR]])&gt;1,"Dubbel",""))</f>
        <v/>
      </c>
    </row>
    <row r="14" spans="1:17" x14ac:dyDescent="0.2">
      <c r="A14">
        <f>IFERROR(VLOOKUP(Table2[[#This Row],[SNR]],Deelnemers[#Data],2,0),"")</f>
        <v>180076</v>
      </c>
      <c r="B14">
        <f>IF(VLOOKUP(Table2[[#This Row],[SNR]],Deelnemers[#Data],8,0)&gt;0,"BM",IF(Table2[[#This Row],[Score]]="Disk",0,MATCH(Table2[[#This Row],[Sorteren]],Table2[Sorteren],0)-COUNTIF($B$7:$B13,"BM")))</f>
        <v>7</v>
      </c>
      <c r="D14" t="str">
        <f>IFERROR(VLOOKUP(Table2[[#This Row],[SNR]],Deelnemers[#Data],3,0),"")</f>
        <v>Agnes Verhoef</v>
      </c>
      <c r="E14" t="str">
        <f>IFERROR(VLOOKUP(Table2[[#This Row],[SNR]],Deelnemers[#Data],4,0),"")</f>
        <v>Rose</v>
      </c>
      <c r="F14" t="str">
        <f>IFERROR(VLOOKUP(Table2[[#This Row],[SNR]],Deelnemers[#Data],6,0),"")</f>
        <v>Golden Retriever</v>
      </c>
      <c r="G14" s="11">
        <v>81</v>
      </c>
      <c r="H14" s="11">
        <v>46.91</v>
      </c>
      <c r="I14" s="11"/>
      <c r="J14" s="11"/>
      <c r="K14" s="11">
        <v>1</v>
      </c>
      <c r="L14" s="11"/>
      <c r="M14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9.9099999999999966</v>
      </c>
      <c r="N14">
        <f>IFERROR(PRODUCT($F$4,1/Table2[[#This Row],[Tijd]]),0)</f>
        <v>3.0057557024088686</v>
      </c>
      <c r="O14">
        <f>SUM(Table2[[#This Row],[W]],Table2[[#This Row],[A]],Table2[[#This Row],[F]])*5</f>
        <v>5</v>
      </c>
      <c r="P14" t="str">
        <f>TEXT(Table2[[#This Row],[Score]],"00,00")&amp;TEXT(Table2[[#This Row],[Fouten]],"00")&amp;TEXT(Table2[[#This Row],[Tijd]],"00,000")</f>
        <v>09,910546,910</v>
      </c>
      <c r="Q14" t="str">
        <f>IF(IFERROR(VLOOKUP(Table2[[#This Row],[SNR]],Deelnemers[#Data],7,0),0)&lt;&gt;$C$4,"Loopt niet in deze groep!",IF(COUNTIF(Table2[SNR],Table2[[#This Row],[SNR]])&gt;1,"Dubbel",""))</f>
        <v/>
      </c>
    </row>
    <row r="15" spans="1:17" x14ac:dyDescent="0.2">
      <c r="A15">
        <f>IFERROR(VLOOKUP(Table2[[#This Row],[SNR]],Deelnemers[#Data],2,0),"")</f>
        <v>182451</v>
      </c>
      <c r="B15">
        <f>IF(VLOOKUP(Table2[[#This Row],[SNR]],Deelnemers[#Data],8,0)&gt;0,"BM",IF(Table2[[#This Row],[Score]]="Disk",0,MATCH(Table2[[#This Row],[Sorteren]],Table2[Sorteren],0)-COUNTIF($B$7:$B14,"BM")))</f>
        <v>8</v>
      </c>
      <c r="D15" t="str">
        <f>IFERROR(VLOOKUP(Table2[[#This Row],[SNR]],Deelnemers[#Data],3,0),"")</f>
        <v>Melissa Stoeten</v>
      </c>
      <c r="E15" t="str">
        <f>IFERROR(VLOOKUP(Table2[[#This Row],[SNR]],Deelnemers[#Data],4,0),"")</f>
        <v>Craig</v>
      </c>
      <c r="F15" t="str">
        <f>IFERROR(VLOOKUP(Table2[[#This Row],[SNR]],Deelnemers[#Data],6,0),"")</f>
        <v>Border Collie</v>
      </c>
      <c r="G15" s="11">
        <v>86</v>
      </c>
      <c r="H15" s="11">
        <v>29.41</v>
      </c>
      <c r="I15" s="11"/>
      <c r="J15" s="11"/>
      <c r="K15" s="11">
        <v>2</v>
      </c>
      <c r="L15" s="11"/>
      <c r="M15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10</v>
      </c>
      <c r="N15">
        <f>IFERROR(PRODUCT($F$4,1/Table2[[#This Row],[Tijd]]),0)</f>
        <v>4.794287657259436</v>
      </c>
      <c r="O15">
        <f>SUM(Table2[[#This Row],[W]],Table2[[#This Row],[A]],Table2[[#This Row],[F]])*5</f>
        <v>10</v>
      </c>
      <c r="P15" t="str">
        <f>TEXT(Table2[[#This Row],[Score]],"00,00")&amp;TEXT(Table2[[#This Row],[Fouten]],"00")&amp;TEXT(Table2[[#This Row],[Tijd]],"00,000")</f>
        <v>10,001029,410</v>
      </c>
      <c r="Q15" t="str">
        <f>IF(IFERROR(VLOOKUP(Table2[[#This Row],[SNR]],Deelnemers[#Data],7,0),0)&lt;&gt;$C$4,"Loopt niet in deze groep!",IF(COUNTIF(Table2[SNR],Table2[[#This Row],[SNR]])&gt;1,"Dubbel",""))</f>
        <v/>
      </c>
    </row>
    <row r="16" spans="1:17" x14ac:dyDescent="0.2">
      <c r="A16">
        <f>IFERROR(VLOOKUP(Table2[[#This Row],[SNR]],Deelnemers[#Data],2,0),"")</f>
        <v>183660</v>
      </c>
      <c r="B16">
        <f>IF(VLOOKUP(Table2[[#This Row],[SNR]],Deelnemers[#Data],8,0)&gt;0,"BM",IF(Table2[[#This Row],[Score]]="Disk",0,MATCH(Table2[[#This Row],[Sorteren]],Table2[Sorteren],0)-COUNTIF($B$7:$B15,"BM")))</f>
        <v>9</v>
      </c>
      <c r="D16" t="str">
        <f>IFERROR(VLOOKUP(Table2[[#This Row],[SNR]],Deelnemers[#Data],3,0),"")</f>
        <v>Willy vd Zee</v>
      </c>
      <c r="E16" t="str">
        <f>IFERROR(VLOOKUP(Table2[[#This Row],[SNR]],Deelnemers[#Data],4,0),"")</f>
        <v>Feytze</v>
      </c>
      <c r="F16" t="str">
        <f>IFERROR(VLOOKUP(Table2[[#This Row],[SNR]],Deelnemers[#Data],6,0),"")</f>
        <v>Belgische Herdershond, Groenendaeler</v>
      </c>
      <c r="G16" s="11">
        <v>94</v>
      </c>
      <c r="H16" s="11">
        <v>34.770000000000003</v>
      </c>
      <c r="I16" s="11"/>
      <c r="J16" s="11"/>
      <c r="K16" s="11">
        <v>2</v>
      </c>
      <c r="L16" s="11"/>
      <c r="M16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10</v>
      </c>
      <c r="N16">
        <f>IFERROR(PRODUCT($F$4,1/Table2[[#This Row],[Tijd]]),0)</f>
        <v>4.0552200172562545</v>
      </c>
      <c r="O16">
        <f>SUM(Table2[[#This Row],[W]],Table2[[#This Row],[A]],Table2[[#This Row],[F]])*5</f>
        <v>10</v>
      </c>
      <c r="P16" t="str">
        <f>TEXT(Table2[[#This Row],[Score]],"00,00")&amp;TEXT(Table2[[#This Row],[Fouten]],"00")&amp;TEXT(Table2[[#This Row],[Tijd]],"00,000")</f>
        <v>10,001034,770</v>
      </c>
      <c r="Q16" t="str">
        <f>IF(IFERROR(VLOOKUP(Table2[[#This Row],[SNR]],Deelnemers[#Data],7,0),0)&lt;&gt;$C$4,"Loopt niet in deze groep!",IF(COUNTIF(Table2[SNR],Table2[[#This Row],[SNR]])&gt;1,"Dubbel",""))</f>
        <v/>
      </c>
    </row>
    <row r="17" spans="1:17" x14ac:dyDescent="0.2">
      <c r="A17">
        <f>IFERROR(VLOOKUP(Table2[[#This Row],[SNR]],Deelnemers[#Data],2,0),"")</f>
        <v>174998</v>
      </c>
      <c r="B17">
        <f>IF(VLOOKUP(Table2[[#This Row],[SNR]],Deelnemers[#Data],8,0)&gt;0,"BM",IF(Table2[[#This Row],[Score]]="Disk",0,MATCH(Table2[[#This Row],[Sorteren]],Table2[Sorteren],0)-COUNTIF($B$7:$B16,"BM")))</f>
        <v>10</v>
      </c>
      <c r="D17" t="str">
        <f>IFERROR(VLOOKUP(Table2[[#This Row],[SNR]],Deelnemers[#Data],3,0),"")</f>
        <v>Sharon Erenstein</v>
      </c>
      <c r="E17" t="str">
        <f>IFERROR(VLOOKUP(Table2[[#This Row],[SNR]],Deelnemers[#Data],4,0),"")</f>
        <v>Taboo</v>
      </c>
      <c r="F17" t="str">
        <f>IFERROR(VLOOKUP(Table2[[#This Row],[SNR]],Deelnemers[#Data],6,0),"")</f>
        <v>Rottweiler</v>
      </c>
      <c r="G17" s="11">
        <v>74</v>
      </c>
      <c r="H17" s="11">
        <v>53.72</v>
      </c>
      <c r="I17" s="11">
        <v>1</v>
      </c>
      <c r="J17" s="11"/>
      <c r="K17" s="11">
        <v>1</v>
      </c>
      <c r="L17" s="11"/>
      <c r="M17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21.72</v>
      </c>
      <c r="N17">
        <f>IFERROR(PRODUCT($F$4,1/Table2[[#This Row],[Tijd]]),0)</f>
        <v>2.6247207743857035</v>
      </c>
      <c r="O17">
        <f>SUM(Table2[[#This Row],[W]],Table2[[#This Row],[A]],Table2[[#This Row],[F]])*5</f>
        <v>10</v>
      </c>
      <c r="P17" t="str">
        <f>TEXT(Table2[[#This Row],[Score]],"00,00")&amp;TEXT(Table2[[#This Row],[Fouten]],"00")&amp;TEXT(Table2[[#This Row],[Tijd]],"00,000")</f>
        <v>21,721053,720</v>
      </c>
      <c r="Q17" t="str">
        <f>IF(IFERROR(VLOOKUP(Table2[[#This Row],[SNR]],Deelnemers[#Data],7,0),0)&lt;&gt;$C$4,"Loopt niet in deze groep!",IF(COUNTIF(Table2[SNR],Table2[[#This Row],[SNR]])&gt;1,"Dubbel",""))</f>
        <v/>
      </c>
    </row>
    <row r="18" spans="1:17" x14ac:dyDescent="0.2">
      <c r="A18">
        <f>IFERROR(VLOOKUP(Table2[[#This Row],[SNR]],Deelnemers[#Data],2,0),"")</f>
        <v>176036</v>
      </c>
      <c r="B18">
        <f>IF(VLOOKUP(Table2[[#This Row],[SNR]],Deelnemers[#Data],8,0)&gt;0,"BM",IF(Table2[[#This Row],[Score]]="Disk",0,MATCH(Table2[[#This Row],[Sorteren]],Table2[Sorteren],0)-COUNTIF($B$7:$B17,"BM")))</f>
        <v>11</v>
      </c>
      <c r="D18" t="str">
        <f>IFERROR(VLOOKUP(Table2[[#This Row],[SNR]],Deelnemers[#Data],3,0),"")</f>
        <v>Ariena vd Veen</v>
      </c>
      <c r="E18" t="str">
        <f>IFERROR(VLOOKUP(Table2[[#This Row],[SNR]],Deelnemers[#Data],4,0),"")</f>
        <v>Rossi</v>
      </c>
      <c r="F18" t="str">
        <f>IFERROR(VLOOKUP(Table2[[#This Row],[SNR]],Deelnemers[#Data],6,0),"")</f>
        <v>Border Collie</v>
      </c>
      <c r="G18" s="11">
        <v>89</v>
      </c>
      <c r="H18" s="11">
        <v>29.78</v>
      </c>
      <c r="I18" s="11">
        <v>1</v>
      </c>
      <c r="J18" s="11"/>
      <c r="K18" s="11">
        <v>4</v>
      </c>
      <c r="L18" s="11"/>
      <c r="M18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25</v>
      </c>
      <c r="N18">
        <f>IFERROR(PRODUCT($F$4,1/Table2[[#This Row],[Tijd]]),0)</f>
        <v>4.7347212894560107</v>
      </c>
      <c r="O18">
        <f>SUM(Table2[[#This Row],[W]],Table2[[#This Row],[A]],Table2[[#This Row],[F]])*5</f>
        <v>25</v>
      </c>
      <c r="P18" t="str">
        <f>TEXT(Table2[[#This Row],[Score]],"00,00")&amp;TEXT(Table2[[#This Row],[Fouten]],"00")&amp;TEXT(Table2[[#This Row],[Tijd]],"00,000")</f>
        <v>25,002529,780</v>
      </c>
      <c r="Q18" t="str">
        <f>IF(IFERROR(VLOOKUP(Table2[[#This Row],[SNR]],Deelnemers[#Data],7,0),0)&lt;&gt;$C$4,"Loopt niet in deze groep!",IF(COUNTIF(Table2[SNR],Table2[[#This Row],[SNR]])&gt;1,"Dubbel",""))</f>
        <v/>
      </c>
    </row>
    <row r="19" spans="1:17" x14ac:dyDescent="0.2">
      <c r="A19">
        <f>IFERROR(VLOOKUP(Table2[[#This Row],[SNR]],Deelnemers[#Data],2,0),"")</f>
        <v>180599</v>
      </c>
      <c r="B19">
        <f>IF(VLOOKUP(Table2[[#This Row],[SNR]],Deelnemers[#Data],8,0)&gt;0,"BM",IF(Table2[[#This Row],[Score]]="Disk",0,MATCH(Table2[[#This Row],[Sorteren]],Table2[Sorteren],0)-COUNTIF($B$7:$B18,"BM")))</f>
        <v>12</v>
      </c>
      <c r="D19" t="str">
        <f>IFERROR(VLOOKUP(Table2[[#This Row],[SNR]],Deelnemers[#Data],3,0),"")</f>
        <v>Lilo Smit</v>
      </c>
      <c r="E19" t="str">
        <f>IFERROR(VLOOKUP(Table2[[#This Row],[SNR]],Deelnemers[#Data],4,0),"")</f>
        <v>Magic</v>
      </c>
      <c r="F19" t="str">
        <f>IFERROR(VLOOKUP(Table2[[#This Row],[SNR]],Deelnemers[#Data],6,0),"")</f>
        <v>australian shepherd</v>
      </c>
      <c r="G19" s="11">
        <v>98</v>
      </c>
      <c r="H19" s="11">
        <v>42.26</v>
      </c>
      <c r="I19" s="11"/>
      <c r="J19" s="11"/>
      <c r="K19" s="11">
        <v>5</v>
      </c>
      <c r="L19" s="11"/>
      <c r="M19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25.259999999999998</v>
      </c>
      <c r="N19">
        <f>IFERROR(PRODUCT($F$4,1/Table2[[#This Row],[Tijd]]),0)</f>
        <v>3.3364884051112162</v>
      </c>
      <c r="O19">
        <f>SUM(Table2[[#This Row],[W]],Table2[[#This Row],[A]],Table2[[#This Row],[F]])*5</f>
        <v>25</v>
      </c>
      <c r="P19" t="str">
        <f>TEXT(Table2[[#This Row],[Score]],"00,00")&amp;TEXT(Table2[[#This Row],[Fouten]],"00")&amp;TEXT(Table2[[#This Row],[Tijd]],"00,000")</f>
        <v>25,262542,260</v>
      </c>
      <c r="Q19" t="str">
        <f>IF(IFERROR(VLOOKUP(Table2[[#This Row],[SNR]],Deelnemers[#Data],7,0),0)&lt;&gt;$C$4,"Loopt niet in deze groep!",IF(COUNTIF(Table2[SNR],Table2[[#This Row],[SNR]])&gt;1,"Dubbel",""))</f>
        <v/>
      </c>
    </row>
    <row r="20" spans="1:17" x14ac:dyDescent="0.2">
      <c r="A20">
        <f>IFERROR(VLOOKUP(Table2[[#This Row],[SNR]],Deelnemers[#Data],2,0),"")</f>
        <v>151378</v>
      </c>
      <c r="B20">
        <f>IF(VLOOKUP(Table2[[#This Row],[SNR]],Deelnemers[#Data],8,0)&gt;0,"BM",IF(Table2[[#This Row],[Score]]="Disk",0,MATCH(Table2[[#This Row],[Sorteren]],Table2[Sorteren],0)-COUNTIF($B$7:$B19,"BM")))</f>
        <v>0</v>
      </c>
      <c r="D20" t="str">
        <f>IFERROR(VLOOKUP(Table2[[#This Row],[SNR]],Deelnemers[#Data],3,0),"")</f>
        <v>Danielle van den Dobbelsteen</v>
      </c>
      <c r="E20" t="str">
        <f>IFERROR(VLOOKUP(Table2[[#This Row],[SNR]],Deelnemers[#Data],4,0),"")</f>
        <v>Django</v>
      </c>
      <c r="F20" t="str">
        <f>IFERROR(VLOOKUP(Table2[[#This Row],[SNR]],Deelnemers[#Data],6,0),"")</f>
        <v>Zwitserse Witte Herder</v>
      </c>
      <c r="G20" s="11">
        <v>73</v>
      </c>
      <c r="H20" s="11"/>
      <c r="I20" s="11"/>
      <c r="J20" s="11"/>
      <c r="K20" s="11"/>
      <c r="L20" s="11" t="s">
        <v>326</v>
      </c>
      <c r="M20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20">
        <f>IFERROR(PRODUCT($F$4,1/Table2[[#This Row],[Tijd]]),0)</f>
        <v>0</v>
      </c>
      <c r="O20">
        <f>SUM(Table2[[#This Row],[W]],Table2[[#This Row],[A]],Table2[[#This Row],[F]])*5</f>
        <v>0</v>
      </c>
      <c r="P20" t="str">
        <f>TEXT(Table2[[#This Row],[Score]],"00,00")&amp;TEXT(Table2[[#This Row],[Fouten]],"00")&amp;TEXT(Table2[[#This Row],[Tijd]],"00,000")</f>
        <v>Disk0000,000</v>
      </c>
      <c r="Q20" t="str">
        <f>IF(IFERROR(VLOOKUP(Table2[[#This Row],[SNR]],Deelnemers[#Data],7,0),0)&lt;&gt;$C$4,"Loopt niet in deze groep!",IF(COUNTIF(Table2[SNR],Table2[[#This Row],[SNR]])&gt;1,"Dubbel",""))</f>
        <v/>
      </c>
    </row>
    <row r="21" spans="1:17" x14ac:dyDescent="0.2">
      <c r="A21">
        <f>IFERROR(VLOOKUP(Table2[[#This Row],[SNR]],Deelnemers[#Data],2,0),"")</f>
        <v>184020</v>
      </c>
      <c r="B21">
        <f>IF(VLOOKUP(Table2[[#This Row],[SNR]],Deelnemers[#Data],8,0)&gt;0,"BM",IF(Table2[[#This Row],[Score]]="Disk",0,MATCH(Table2[[#This Row],[Sorteren]],Table2[Sorteren],0)-COUNTIF($B$7:$B20,"BM")))</f>
        <v>0</v>
      </c>
      <c r="D21" t="str">
        <f>IFERROR(VLOOKUP(Table2[[#This Row],[SNR]],Deelnemers[#Data],3,0),"")</f>
        <v>Yara Borger</v>
      </c>
      <c r="E21" t="str">
        <f>IFERROR(VLOOKUP(Table2[[#This Row],[SNR]],Deelnemers[#Data],4,0),"")</f>
        <v>Elsa</v>
      </c>
      <c r="F21" t="str">
        <f>IFERROR(VLOOKUP(Table2[[#This Row],[SNR]],Deelnemers[#Data],6,0),"")</f>
        <v>border collie</v>
      </c>
      <c r="G21" s="11">
        <v>92</v>
      </c>
      <c r="H21" s="11"/>
      <c r="I21" s="11"/>
      <c r="J21" s="11"/>
      <c r="K21" s="11"/>
      <c r="L21" s="11" t="s">
        <v>326</v>
      </c>
      <c r="M21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21">
        <f>IFERROR(PRODUCT($F$4,1/Table2[[#This Row],[Tijd]]),0)</f>
        <v>0</v>
      </c>
      <c r="O21">
        <f>SUM(Table2[[#This Row],[W]],Table2[[#This Row],[A]],Table2[[#This Row],[F]])*5</f>
        <v>0</v>
      </c>
      <c r="P21" t="str">
        <f>TEXT(Table2[[#This Row],[Score]],"00,00")&amp;TEXT(Table2[[#This Row],[Fouten]],"00")&amp;TEXT(Table2[[#This Row],[Tijd]],"00,000")</f>
        <v>Disk0000,000</v>
      </c>
      <c r="Q21" t="str">
        <f>IF(IFERROR(VLOOKUP(Table2[[#This Row],[SNR]],Deelnemers[#Data],7,0),0)&lt;&gt;$C$4,"Loopt niet in deze groep!",IF(COUNTIF(Table2[SNR],Table2[[#This Row],[SNR]])&gt;1,"Dubbel",""))</f>
        <v/>
      </c>
    </row>
    <row r="22" spans="1:17" x14ac:dyDescent="0.2">
      <c r="A22">
        <f>IFERROR(VLOOKUP(Table2[[#This Row],[SNR]],Deelnemers[#Data],2,0),"")</f>
        <v>171387</v>
      </c>
      <c r="B22">
        <f>IF(VLOOKUP(Table2[[#This Row],[SNR]],Deelnemers[#Data],8,0)&gt;0,"BM",IF(Table2[[#This Row],[Score]]="Disk",0,MATCH(Table2[[#This Row],[Sorteren]],Table2[Sorteren],0)-COUNTIF($B$7:$B21,"BM")))</f>
        <v>0</v>
      </c>
      <c r="D22" t="str">
        <f>IFERROR(VLOOKUP(Table2[[#This Row],[SNR]],Deelnemers[#Data],3,0),"")</f>
        <v>Marjolijn Harders</v>
      </c>
      <c r="E22" t="str">
        <f>IFERROR(VLOOKUP(Table2[[#This Row],[SNR]],Deelnemers[#Data],4,0),"")</f>
        <v>Raya</v>
      </c>
      <c r="F22" t="str">
        <f>IFERROR(VLOOKUP(Table2[[#This Row],[SNR]],Deelnemers[#Data],6,0),"")</f>
        <v>kruising</v>
      </c>
      <c r="G22" s="11">
        <v>78</v>
      </c>
      <c r="H22" s="11"/>
      <c r="I22" s="11"/>
      <c r="J22" s="11"/>
      <c r="K22" s="11"/>
      <c r="L22" s="11" t="s">
        <v>326</v>
      </c>
      <c r="M22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22">
        <f>IFERROR(PRODUCT($F$4,1/Table2[[#This Row],[Tijd]]),0)</f>
        <v>0</v>
      </c>
      <c r="O22">
        <f>SUM(Table2[[#This Row],[W]],Table2[[#This Row],[A]],Table2[[#This Row],[F]])*5</f>
        <v>0</v>
      </c>
      <c r="P22" t="str">
        <f>TEXT(Table2[[#This Row],[Score]],"00,00")&amp;TEXT(Table2[[#This Row],[Fouten]],"00")&amp;TEXT(Table2[[#This Row],[Tijd]],"00,000")</f>
        <v>Disk0000,000</v>
      </c>
      <c r="Q22" t="str">
        <f>IF(IFERROR(VLOOKUP(Table2[[#This Row],[SNR]],Deelnemers[#Data],7,0),0)&lt;&gt;$C$4,"Loopt niet in deze groep!",IF(COUNTIF(Table2[SNR],Table2[[#This Row],[SNR]])&gt;1,"Dubbel",""))</f>
        <v/>
      </c>
    </row>
    <row r="23" spans="1:17" x14ac:dyDescent="0.2">
      <c r="A23">
        <f>IFERROR(VLOOKUP(Table2[[#This Row],[SNR]],Deelnemers[#Data],2,0),"")</f>
        <v>430646</v>
      </c>
      <c r="B23">
        <f>IF(VLOOKUP(Table2[[#This Row],[SNR]],Deelnemers[#Data],8,0)&gt;0,"BM",IF(Table2[[#This Row],[Score]]="Disk",0,MATCH(Table2[[#This Row],[Sorteren]],Table2[Sorteren],0)-COUNTIF($B$7:$B22,"BM")))</f>
        <v>0</v>
      </c>
      <c r="D23" t="str">
        <f>IFERROR(VLOOKUP(Table2[[#This Row],[SNR]],Deelnemers[#Data],3,0),"")</f>
        <v>Sia Beuving</v>
      </c>
      <c r="E23" t="str">
        <f>IFERROR(VLOOKUP(Table2[[#This Row],[SNR]],Deelnemers[#Data],4,0),"")</f>
        <v>Chito</v>
      </c>
      <c r="F23" t="str">
        <f>IFERROR(VLOOKUP(Table2[[#This Row],[SNR]],Deelnemers[#Data],6,0),"")</f>
        <v>Hovawart</v>
      </c>
      <c r="G23" s="11">
        <v>79</v>
      </c>
      <c r="H23" s="11"/>
      <c r="I23" s="11"/>
      <c r="J23" s="11"/>
      <c r="K23" s="11"/>
      <c r="L23" s="11" t="s">
        <v>326</v>
      </c>
      <c r="M23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23">
        <f>IFERROR(PRODUCT($F$4,1/Table2[[#This Row],[Tijd]]),0)</f>
        <v>0</v>
      </c>
      <c r="O23">
        <f>SUM(Table2[[#This Row],[W]],Table2[[#This Row],[A]],Table2[[#This Row],[F]])*5</f>
        <v>0</v>
      </c>
      <c r="P23" t="str">
        <f>TEXT(Table2[[#This Row],[Score]],"00,00")&amp;TEXT(Table2[[#This Row],[Fouten]],"00")&amp;TEXT(Table2[[#This Row],[Tijd]],"00,000")</f>
        <v>Disk0000,000</v>
      </c>
      <c r="Q23" t="str">
        <f>IF(IFERROR(VLOOKUP(Table2[[#This Row],[SNR]],Deelnemers[#Data],7,0),0)&lt;&gt;$C$4,"Loopt niet in deze groep!",IF(COUNTIF(Table2[SNR],Table2[[#This Row],[SNR]])&gt;1,"Dubbel",""))</f>
        <v/>
      </c>
    </row>
    <row r="24" spans="1:17" x14ac:dyDescent="0.2">
      <c r="A24">
        <f>IFERROR(VLOOKUP(Table2[[#This Row],[SNR]],Deelnemers[#Data],2,0),"")</f>
        <v>160482</v>
      </c>
      <c r="B24">
        <f>IF(VLOOKUP(Table2[[#This Row],[SNR]],Deelnemers[#Data],8,0)&gt;0,"BM",IF(Table2[[#This Row],[Score]]="Disk",0,MATCH(Table2[[#This Row],[Sorteren]],Table2[Sorteren],0)-COUNTIF($B$7:$B23,"BM")))</f>
        <v>0</v>
      </c>
      <c r="D24" t="str">
        <f>IFERROR(VLOOKUP(Table2[[#This Row],[SNR]],Deelnemers[#Data],3,0),"")</f>
        <v>Danique Lagerwaard</v>
      </c>
      <c r="E24" t="str">
        <f>IFERROR(VLOOKUP(Table2[[#This Row],[SNR]],Deelnemers[#Data],4,0),"")</f>
        <v>LB LESS</v>
      </c>
      <c r="F24" t="str">
        <f>IFERROR(VLOOKUP(Table2[[#This Row],[SNR]],Deelnemers[#Data],6,0),"")</f>
        <v>Border Collie</v>
      </c>
      <c r="G24" s="11">
        <v>82</v>
      </c>
      <c r="H24" s="11"/>
      <c r="I24" s="11"/>
      <c r="J24" s="11"/>
      <c r="K24" s="11"/>
      <c r="L24" s="11" t="s">
        <v>326</v>
      </c>
      <c r="M24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24">
        <f>IFERROR(PRODUCT($F$4,1/Table2[[#This Row],[Tijd]]),0)</f>
        <v>0</v>
      </c>
      <c r="O24">
        <f>SUM(Table2[[#This Row],[W]],Table2[[#This Row],[A]],Table2[[#This Row],[F]])*5</f>
        <v>0</v>
      </c>
      <c r="P24" t="str">
        <f>TEXT(Table2[[#This Row],[Score]],"00,00")&amp;TEXT(Table2[[#This Row],[Fouten]],"00")&amp;TEXT(Table2[[#This Row],[Tijd]],"00,000")</f>
        <v>Disk0000,000</v>
      </c>
      <c r="Q24" t="str">
        <f>IF(IFERROR(VLOOKUP(Table2[[#This Row],[SNR]],Deelnemers[#Data],7,0),0)&lt;&gt;$C$4,"Loopt niet in deze groep!",IF(COUNTIF(Table2[SNR],Table2[[#This Row],[SNR]])&gt;1,"Dubbel",""))</f>
        <v/>
      </c>
    </row>
    <row r="25" spans="1:17" x14ac:dyDescent="0.2">
      <c r="A25">
        <f>IFERROR(VLOOKUP(Table2[[#This Row],[SNR]],Deelnemers[#Data],2,0),"")</f>
        <v>173657</v>
      </c>
      <c r="B25">
        <f>IF(VLOOKUP(Table2[[#This Row],[SNR]],Deelnemers[#Data],8,0)&gt;0,"BM",IF(Table2[[#This Row],[Score]]="Disk",0,MATCH(Table2[[#This Row],[Sorteren]],Table2[Sorteren],0)-COUNTIF($B$7:$B24,"BM")))</f>
        <v>0</v>
      </c>
      <c r="D25" t="str">
        <f>IFERROR(VLOOKUP(Table2[[#This Row],[SNR]],Deelnemers[#Data],3,0),"")</f>
        <v>Hennie Roemahlewang</v>
      </c>
      <c r="E25" t="str">
        <f>IFERROR(VLOOKUP(Table2[[#This Row],[SNR]],Deelnemers[#Data],4,0),"")</f>
        <v>Rush</v>
      </c>
      <c r="F25" t="str">
        <f>IFERROR(VLOOKUP(Table2[[#This Row],[SNR]],Deelnemers[#Data],6,0),"")</f>
        <v>Border Collie</v>
      </c>
      <c r="G25" s="11">
        <v>84</v>
      </c>
      <c r="H25" s="11"/>
      <c r="I25" s="11"/>
      <c r="J25" s="11"/>
      <c r="K25" s="11"/>
      <c r="L25" s="11" t="s">
        <v>326</v>
      </c>
      <c r="M25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25">
        <f>IFERROR(PRODUCT($F$4,1/Table2[[#This Row],[Tijd]]),0)</f>
        <v>0</v>
      </c>
      <c r="O25">
        <f>SUM(Table2[[#This Row],[W]],Table2[[#This Row],[A]],Table2[[#This Row],[F]])*5</f>
        <v>0</v>
      </c>
      <c r="P25" t="str">
        <f>TEXT(Table2[[#This Row],[Score]],"00,00")&amp;TEXT(Table2[[#This Row],[Fouten]],"00")&amp;TEXT(Table2[[#This Row],[Tijd]],"00,000")</f>
        <v>Disk0000,000</v>
      </c>
      <c r="Q25" t="str">
        <f>IF(IFERROR(VLOOKUP(Table2[[#This Row],[SNR]],Deelnemers[#Data],7,0),0)&lt;&gt;$C$4,"Loopt niet in deze groep!",IF(COUNTIF(Table2[SNR],Table2[[#This Row],[SNR]])&gt;1,"Dubbel",""))</f>
        <v/>
      </c>
    </row>
    <row r="26" spans="1:17" x14ac:dyDescent="0.2">
      <c r="A26">
        <f>IFERROR(VLOOKUP(Table2[[#This Row],[SNR]],Deelnemers[#Data],2,0),"")</f>
        <v>175986</v>
      </c>
      <c r="B26">
        <f>IF(VLOOKUP(Table2[[#This Row],[SNR]],Deelnemers[#Data],8,0)&gt;0,"BM",IF(Table2[[#This Row],[Score]]="Disk",0,MATCH(Table2[[#This Row],[Sorteren]],Table2[Sorteren],0)-COUNTIF($B$7:$B25,"BM")))</f>
        <v>0</v>
      </c>
      <c r="D26" t="str">
        <f>IFERROR(VLOOKUP(Table2[[#This Row],[SNR]],Deelnemers[#Data],3,0),"")</f>
        <v>Iris Folbert</v>
      </c>
      <c r="E26" t="str">
        <f>IFERROR(VLOOKUP(Table2[[#This Row],[SNR]],Deelnemers[#Data],4,0),"")</f>
        <v>Jip</v>
      </c>
      <c r="F26" t="str">
        <f>IFERROR(VLOOKUP(Table2[[#This Row],[SNR]],Deelnemers[#Data],6,0),"")</f>
        <v>Border Collie</v>
      </c>
      <c r="G26" s="11">
        <v>85</v>
      </c>
      <c r="H26" s="11"/>
      <c r="I26" s="11"/>
      <c r="J26" s="11"/>
      <c r="K26" s="11"/>
      <c r="L26" s="11" t="s">
        <v>326</v>
      </c>
      <c r="M26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26">
        <f>IFERROR(PRODUCT($F$4,1/Table2[[#This Row],[Tijd]]),0)</f>
        <v>0</v>
      </c>
      <c r="O26">
        <f>SUM(Table2[[#This Row],[W]],Table2[[#This Row],[A]],Table2[[#This Row],[F]])*5</f>
        <v>0</v>
      </c>
      <c r="P26" t="str">
        <f>TEXT(Table2[[#This Row],[Score]],"00,00")&amp;TEXT(Table2[[#This Row],[Fouten]],"00")&amp;TEXT(Table2[[#This Row],[Tijd]],"00,000")</f>
        <v>Disk0000,000</v>
      </c>
      <c r="Q26" t="str">
        <f>IF(IFERROR(VLOOKUP(Table2[[#This Row],[SNR]],Deelnemers[#Data],7,0),0)&lt;&gt;$C$4,"Loopt niet in deze groep!",IF(COUNTIF(Table2[SNR],Table2[[#This Row],[SNR]])&gt;1,"Dubbel",""))</f>
        <v/>
      </c>
    </row>
    <row r="27" spans="1:17" x14ac:dyDescent="0.2">
      <c r="A27">
        <f>IFERROR(VLOOKUP(Table2[[#This Row],[SNR]],Deelnemers[#Data],2,0),"")</f>
        <v>183903</v>
      </c>
      <c r="B27">
        <f>IF(VLOOKUP(Table2[[#This Row],[SNR]],Deelnemers[#Data],8,0)&gt;0,"BM",IF(Table2[[#This Row],[Score]]="Disk",0,MATCH(Table2[[#This Row],[Sorteren]],Table2[Sorteren],0)-COUNTIF($B$7:$B26,"BM")))</f>
        <v>0</v>
      </c>
      <c r="D27" t="str">
        <f>IFERROR(VLOOKUP(Table2[[#This Row],[SNR]],Deelnemers[#Data],3,0),"")</f>
        <v>Marieke Timmer</v>
      </c>
      <c r="E27" t="str">
        <f>IFERROR(VLOOKUP(Table2[[#This Row],[SNR]],Deelnemers[#Data],4,0),"")</f>
        <v>SPAM</v>
      </c>
      <c r="F27" t="str">
        <f>IFERROR(VLOOKUP(Table2[[#This Row],[SNR]],Deelnemers[#Data],6,0),"")</f>
        <v>Border Collie</v>
      </c>
      <c r="G27" s="11">
        <v>87</v>
      </c>
      <c r="H27" s="11"/>
      <c r="I27" s="11"/>
      <c r="J27" s="11"/>
      <c r="K27" s="11"/>
      <c r="L27" s="11" t="s">
        <v>326</v>
      </c>
      <c r="M27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27">
        <f>IFERROR(PRODUCT($F$4,1/Table2[[#This Row],[Tijd]]),0)</f>
        <v>0</v>
      </c>
      <c r="O27">
        <f>SUM(Table2[[#This Row],[W]],Table2[[#This Row],[A]],Table2[[#This Row],[F]])*5</f>
        <v>0</v>
      </c>
      <c r="P27" t="str">
        <f>TEXT(Table2[[#This Row],[Score]],"00,00")&amp;TEXT(Table2[[#This Row],[Fouten]],"00")&amp;TEXT(Table2[[#This Row],[Tijd]],"00,000")</f>
        <v>Disk0000,000</v>
      </c>
      <c r="Q27" t="str">
        <f>IF(IFERROR(VLOOKUP(Table2[[#This Row],[SNR]],Deelnemers[#Data],7,0),0)&lt;&gt;$C$4,"Loopt niet in deze groep!",IF(COUNTIF(Table2[SNR],Table2[[#This Row],[SNR]])&gt;1,"Dubbel",""))</f>
        <v/>
      </c>
    </row>
    <row r="28" spans="1:17" x14ac:dyDescent="0.2">
      <c r="A28">
        <f>IFERROR(VLOOKUP(Table2[[#This Row],[SNR]],Deelnemers[#Data],2,0),"")</f>
        <v>184780</v>
      </c>
      <c r="B28">
        <f>IF(VLOOKUP(Table2[[#This Row],[SNR]],Deelnemers[#Data],8,0)&gt;0,"BM",IF(Table2[[#This Row],[Score]]="Disk",0,MATCH(Table2[[#This Row],[Sorteren]],Table2[Sorteren],0)-COUNTIF($B$7:$B27,"BM")))</f>
        <v>0</v>
      </c>
      <c r="D28" t="str">
        <f>IFERROR(VLOOKUP(Table2[[#This Row],[SNR]],Deelnemers[#Data],3,0),"")</f>
        <v>Sinne Tolsma</v>
      </c>
      <c r="E28" t="str">
        <f>IFERROR(VLOOKUP(Table2[[#This Row],[SNR]],Deelnemers[#Data],4,0),"")</f>
        <v>Donder</v>
      </c>
      <c r="F28" t="str">
        <f>IFERROR(VLOOKUP(Table2[[#This Row],[SNR]],Deelnemers[#Data],6,0),"")</f>
        <v>Border Collie</v>
      </c>
      <c r="G28" s="11">
        <v>88</v>
      </c>
      <c r="H28" s="11"/>
      <c r="I28" s="11"/>
      <c r="J28" s="11"/>
      <c r="K28" s="11"/>
      <c r="L28" s="11" t="s">
        <v>326</v>
      </c>
      <c r="M28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28">
        <f>IFERROR(PRODUCT($F$4,1/Table2[[#This Row],[Tijd]]),0)</f>
        <v>0</v>
      </c>
      <c r="O28">
        <f>SUM(Table2[[#This Row],[W]],Table2[[#This Row],[A]],Table2[[#This Row],[F]])*5</f>
        <v>0</v>
      </c>
      <c r="P28" t="str">
        <f>TEXT(Table2[[#This Row],[Score]],"00,00")&amp;TEXT(Table2[[#This Row],[Fouten]],"00")&amp;TEXT(Table2[[#This Row],[Tijd]],"00,000")</f>
        <v>Disk0000,000</v>
      </c>
      <c r="Q28" t="str">
        <f>IF(IFERROR(VLOOKUP(Table2[[#This Row],[SNR]],Deelnemers[#Data],7,0),0)&lt;&gt;$C$4,"Loopt niet in deze groep!",IF(COUNTIF(Table2[SNR],Table2[[#This Row],[SNR]])&gt;1,"Dubbel",""))</f>
        <v/>
      </c>
    </row>
    <row r="29" spans="1:17" x14ac:dyDescent="0.2">
      <c r="A29">
        <f>IFERROR(VLOOKUP(Table2[[#This Row],[SNR]],Deelnemers[#Data],2,0),"")</f>
        <v>181145</v>
      </c>
      <c r="B29">
        <f>IF(VLOOKUP(Table2[[#This Row],[SNR]],Deelnemers[#Data],8,0)&gt;0,"BM",IF(Table2[[#This Row],[Score]]="Disk",0,MATCH(Table2[[#This Row],[Sorteren]],Table2[Sorteren],0)-COUNTIF($B$7:$B28,"BM")))</f>
        <v>0</v>
      </c>
      <c r="D29" t="str">
        <f>IFERROR(VLOOKUP(Table2[[#This Row],[SNR]],Deelnemers[#Data],3,0),"")</f>
        <v>Eerjan de Bruijn</v>
      </c>
      <c r="E29" t="str">
        <f>IFERROR(VLOOKUP(Table2[[#This Row],[SNR]],Deelnemers[#Data],4,0),"")</f>
        <v>Cara</v>
      </c>
      <c r="F29" t="str">
        <f>IFERROR(VLOOKUP(Table2[[#This Row],[SNR]],Deelnemers[#Data],6,0),"")</f>
        <v>Border Collie</v>
      </c>
      <c r="G29" s="11">
        <v>90</v>
      </c>
      <c r="H29" s="11"/>
      <c r="I29" s="11"/>
      <c r="J29" s="11"/>
      <c r="K29" s="11"/>
      <c r="L29" s="11" t="s">
        <v>326</v>
      </c>
      <c r="M29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29">
        <f>IFERROR(PRODUCT($F$4,1/Table2[[#This Row],[Tijd]]),0)</f>
        <v>0</v>
      </c>
      <c r="O29">
        <f>SUM(Table2[[#This Row],[W]],Table2[[#This Row],[A]],Table2[[#This Row],[F]])*5</f>
        <v>0</v>
      </c>
      <c r="P29" t="str">
        <f>TEXT(Table2[[#This Row],[Score]],"00,00")&amp;TEXT(Table2[[#This Row],[Fouten]],"00")&amp;TEXT(Table2[[#This Row],[Tijd]],"00,000")</f>
        <v>Disk0000,000</v>
      </c>
      <c r="Q29" t="str">
        <f>IF(IFERROR(VLOOKUP(Table2[[#This Row],[SNR]],Deelnemers[#Data],7,0),0)&lt;&gt;$C$4,"Loopt niet in deze groep!",IF(COUNTIF(Table2[SNR],Table2[[#This Row],[SNR]])&gt;1,"Dubbel",""))</f>
        <v/>
      </c>
    </row>
    <row r="30" spans="1:17" x14ac:dyDescent="0.2">
      <c r="A30">
        <f>IFERROR(VLOOKUP(Table2[[#This Row],[SNR]],Deelnemers[#Data],2,0),"")</f>
        <v>183555</v>
      </c>
      <c r="B30">
        <f>IF(VLOOKUP(Table2[[#This Row],[SNR]],Deelnemers[#Data],8,0)&gt;0,"BM",IF(Table2[[#This Row],[Score]]="Disk",0,MATCH(Table2[[#This Row],[Sorteren]],Table2[Sorteren],0)-COUNTIF($B$7:$B29,"BM")))</f>
        <v>0</v>
      </c>
      <c r="D30" t="str">
        <f>IFERROR(VLOOKUP(Table2[[#This Row],[SNR]],Deelnemers[#Data],3,0),"")</f>
        <v>Ellen Overtoom</v>
      </c>
      <c r="E30" t="str">
        <f>IFERROR(VLOOKUP(Table2[[#This Row],[SNR]],Deelnemers[#Data],4,0),"")</f>
        <v>Tav</v>
      </c>
      <c r="F30" t="str">
        <f>IFERROR(VLOOKUP(Table2[[#This Row],[SNR]],Deelnemers[#Data],6,0),"")</f>
        <v>Border Collie</v>
      </c>
      <c r="G30" s="11">
        <v>91</v>
      </c>
      <c r="H30" s="11"/>
      <c r="I30" s="11"/>
      <c r="J30" s="11"/>
      <c r="K30" s="11"/>
      <c r="L30" s="11" t="s">
        <v>326</v>
      </c>
      <c r="M30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30">
        <f>IFERROR(PRODUCT($F$4,1/Table2[[#This Row],[Tijd]]),0)</f>
        <v>0</v>
      </c>
      <c r="O30">
        <f>SUM(Table2[[#This Row],[W]],Table2[[#This Row],[A]],Table2[[#This Row],[F]])*5</f>
        <v>0</v>
      </c>
      <c r="P30" t="str">
        <f>TEXT(Table2[[#This Row],[Score]],"00,00")&amp;TEXT(Table2[[#This Row],[Fouten]],"00")&amp;TEXT(Table2[[#This Row],[Tijd]],"00,000")</f>
        <v>Disk0000,000</v>
      </c>
      <c r="Q30" t="str">
        <f>IF(IFERROR(VLOOKUP(Table2[[#This Row],[SNR]],Deelnemers[#Data],7,0),0)&lt;&gt;$C$4,"Loopt niet in deze groep!",IF(COUNTIF(Table2[SNR],Table2[[#This Row],[SNR]])&gt;1,"Dubbel",""))</f>
        <v/>
      </c>
    </row>
    <row r="31" spans="1:17" x14ac:dyDescent="0.2">
      <c r="A31">
        <f>IFERROR(VLOOKUP(Table2[[#This Row],[SNR]],Deelnemers[#Data],2,0),"")</f>
        <v>181552</v>
      </c>
      <c r="B31">
        <f>IF(VLOOKUP(Table2[[#This Row],[SNR]],Deelnemers[#Data],8,0)&gt;0,"BM",IF(Table2[[#This Row],[Score]]="Disk",0,MATCH(Table2[[#This Row],[Sorteren]],Table2[Sorteren],0)-COUNTIF($B$7:$B30,"BM")))</f>
        <v>0</v>
      </c>
      <c r="D31" t="str">
        <f>IFERROR(VLOOKUP(Table2[[#This Row],[SNR]],Deelnemers[#Data],3,0),"")</f>
        <v>Thea van Niekerk</v>
      </c>
      <c r="E31" t="str">
        <f>IFERROR(VLOOKUP(Table2[[#This Row],[SNR]],Deelnemers[#Data],4,0),"")</f>
        <v>Ellis</v>
      </c>
      <c r="F31" t="str">
        <f>IFERROR(VLOOKUP(Table2[[#This Row],[SNR]],Deelnemers[#Data],6,0),"")</f>
        <v>Belgische Herdershond, Groenendaeler</v>
      </c>
      <c r="G31" s="11">
        <v>96</v>
      </c>
      <c r="H31" s="11"/>
      <c r="I31" s="11"/>
      <c r="J31" s="11"/>
      <c r="K31" s="11"/>
      <c r="L31" s="11" t="s">
        <v>326</v>
      </c>
      <c r="M31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31">
        <f>IFERROR(PRODUCT($F$4,1/Table2[[#This Row],[Tijd]]),0)</f>
        <v>0</v>
      </c>
      <c r="O31">
        <f>SUM(Table2[[#This Row],[W]],Table2[[#This Row],[A]],Table2[[#This Row],[F]])*5</f>
        <v>0</v>
      </c>
      <c r="P31" t="str">
        <f>TEXT(Table2[[#This Row],[Score]],"00,00")&amp;TEXT(Table2[[#This Row],[Fouten]],"00")&amp;TEXT(Table2[[#This Row],[Tijd]],"00,000")</f>
        <v>Disk0000,000</v>
      </c>
      <c r="Q31" t="str">
        <f>IF(IFERROR(VLOOKUP(Table2[[#This Row],[SNR]],Deelnemers[#Data],7,0),0)&lt;&gt;$C$4,"Loopt niet in deze groep!",IF(COUNTIF(Table2[SNR],Table2[[#This Row],[SNR]])&gt;1,"Dubbel",""))</f>
        <v/>
      </c>
    </row>
    <row r="32" spans="1:17" x14ac:dyDescent="0.2">
      <c r="A32">
        <f>IFERROR(VLOOKUP(Table2[[#This Row],[SNR]],Deelnemers[#Data],2,0),"")</f>
        <v>183199</v>
      </c>
      <c r="B32">
        <f>IF(VLOOKUP(Table2[[#This Row],[SNR]],Deelnemers[#Data],8,0)&gt;0,"BM",IF(Table2[[#This Row],[Score]]="Disk",0,MATCH(Table2[[#This Row],[Sorteren]],Table2[Sorteren],0)-COUNTIF($B$7:$B31,"BM")))</f>
        <v>0</v>
      </c>
      <c r="D32" t="str">
        <f>IFERROR(VLOOKUP(Table2[[#This Row],[SNR]],Deelnemers[#Data],3,0),"")</f>
        <v>Sia Beuving</v>
      </c>
      <c r="E32" t="str">
        <f>IFERROR(VLOOKUP(Table2[[#This Row],[SNR]],Deelnemers[#Data],4,0),"")</f>
        <v>Ally</v>
      </c>
      <c r="F32" t="str">
        <f>IFERROR(VLOOKUP(Table2[[#This Row],[SNR]],Deelnemers[#Data],6,0),"")</f>
        <v>Hovawart</v>
      </c>
      <c r="G32" s="11">
        <v>97</v>
      </c>
      <c r="H32" s="11"/>
      <c r="I32" s="11"/>
      <c r="J32" s="11"/>
      <c r="K32" s="11"/>
      <c r="L32" s="11" t="s">
        <v>326</v>
      </c>
      <c r="M32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32">
        <f>IFERROR(PRODUCT($F$4,1/Table2[[#This Row],[Tijd]]),0)</f>
        <v>0</v>
      </c>
      <c r="O32">
        <f>SUM(Table2[[#This Row],[W]],Table2[[#This Row],[A]],Table2[[#This Row],[F]])*5</f>
        <v>0</v>
      </c>
      <c r="P32" t="str">
        <f>TEXT(Table2[[#This Row],[Score]],"00,00")&amp;TEXT(Table2[[#This Row],[Fouten]],"00")&amp;TEXT(Table2[[#This Row],[Tijd]],"00,000")</f>
        <v>Disk0000,000</v>
      </c>
      <c r="Q32" t="str">
        <f>IF(IFERROR(VLOOKUP(Table2[[#This Row],[SNR]],Deelnemers[#Data],7,0),0)&lt;&gt;$C$4,"Loopt niet in deze groep!",IF(COUNTIF(Table2[SNR],Table2[[#This Row],[SNR]])&gt;1,"Dubbel",""))</f>
        <v/>
      </c>
    </row>
    <row r="33" spans="1:17" x14ac:dyDescent="0.2">
      <c r="A33">
        <f>IFERROR(VLOOKUP(Table2[[#This Row],[SNR]],Deelnemers[#Data],2,0),"")</f>
        <v>176443</v>
      </c>
      <c r="B33">
        <f>IF(VLOOKUP(Table2[[#This Row],[SNR]],Deelnemers[#Data],8,0)&gt;0,"BM",IF(Table2[[#This Row],[Score]]="Disk",0,MATCH(Table2[[#This Row],[Sorteren]],Table2[Sorteren],0)-COUNTIF($B$7:$B32,"BM")))</f>
        <v>0</v>
      </c>
      <c r="D33" t="str">
        <f>IFERROR(VLOOKUP(Table2[[#This Row],[SNR]],Deelnemers[#Data],3,0),"")</f>
        <v>Lenie Henrion Verpoorten</v>
      </c>
      <c r="E33" t="str">
        <f>IFERROR(VLOOKUP(Table2[[#This Row],[SNR]],Deelnemers[#Data],4,0),"")</f>
        <v>Nara</v>
      </c>
      <c r="F33" t="str">
        <f>IFERROR(VLOOKUP(Table2[[#This Row],[SNR]],Deelnemers[#Data],6,0),"")</f>
        <v>Australian Shepherd</v>
      </c>
      <c r="G33" s="11">
        <v>99</v>
      </c>
      <c r="H33" s="11"/>
      <c r="I33" s="11"/>
      <c r="J33" s="11"/>
      <c r="K33" s="11"/>
      <c r="L33" s="11" t="s">
        <v>326</v>
      </c>
      <c r="M33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33">
        <f>IFERROR(PRODUCT($F$4,1/Table2[[#This Row],[Tijd]]),0)</f>
        <v>0</v>
      </c>
      <c r="O33">
        <f>SUM(Table2[[#This Row],[W]],Table2[[#This Row],[A]],Table2[[#This Row],[F]])*5</f>
        <v>0</v>
      </c>
      <c r="P33" t="str">
        <f>TEXT(Table2[[#This Row],[Score]],"00,00")&amp;TEXT(Table2[[#This Row],[Fouten]],"00")&amp;TEXT(Table2[[#This Row],[Tijd]],"00,000")</f>
        <v>Disk0000,000</v>
      </c>
      <c r="Q33" t="str">
        <f>IF(IFERROR(VLOOKUP(Table2[[#This Row],[SNR]],Deelnemers[#Data],7,0),0)&lt;&gt;$C$4,"Loopt niet in deze groep!",IF(COUNTIF(Table2[SNR],Table2[[#This Row],[SNR]])&gt;1,"Dubbel",""))</f>
        <v/>
      </c>
    </row>
    <row r="34" spans="1:17" x14ac:dyDescent="0.2">
      <c r="A34">
        <f>IFERROR(VLOOKUP(Table2[[#This Row],[SNR]],Deelnemers[#Data],2,0),"")</f>
        <v>184616</v>
      </c>
      <c r="B34">
        <f>IF(VLOOKUP(Table2[[#This Row],[SNR]],Deelnemers[#Data],8,0)&gt;0,"BM",IF(Table2[[#This Row],[Score]]="Disk",0,MATCH(Table2[[#This Row],[Sorteren]],Table2[Sorteren],0)-COUNTIF($B$7:$B33,"BM")))</f>
        <v>0</v>
      </c>
      <c r="D34" t="str">
        <f>IFERROR(VLOOKUP(Table2[[#This Row],[SNR]],Deelnemers[#Data],3,0),"")</f>
        <v>Carla van der Kolk-la Crois</v>
      </c>
      <c r="E34" t="str">
        <f>IFERROR(VLOOKUP(Table2[[#This Row],[SNR]],Deelnemers[#Data],4,0),"")</f>
        <v>Abby</v>
      </c>
      <c r="F34" t="str">
        <f>IFERROR(VLOOKUP(Table2[[#This Row],[SNR]],Deelnemers[#Data],6,0),"")</f>
        <v>Australian Shepherd</v>
      </c>
      <c r="G34" s="11">
        <v>100</v>
      </c>
      <c r="H34" s="11"/>
      <c r="I34" s="11"/>
      <c r="J34" s="11"/>
      <c r="K34" s="11"/>
      <c r="L34" s="11" t="s">
        <v>326</v>
      </c>
      <c r="M34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34">
        <f>IFERROR(PRODUCT($F$4,1/Table2[[#This Row],[Tijd]]),0)</f>
        <v>0</v>
      </c>
      <c r="O34">
        <f>SUM(Table2[[#This Row],[W]],Table2[[#This Row],[A]],Table2[[#This Row],[F]])*5</f>
        <v>0</v>
      </c>
      <c r="P34" t="str">
        <f>TEXT(Table2[[#This Row],[Score]],"00,00")&amp;TEXT(Table2[[#This Row],[Fouten]],"00")&amp;TEXT(Table2[[#This Row],[Tijd]],"00,000")</f>
        <v>Disk0000,000</v>
      </c>
      <c r="Q34" t="str">
        <f>IF(IFERROR(VLOOKUP(Table2[[#This Row],[SNR]],Deelnemers[#Data],7,0),0)&lt;&gt;$C$4,"Loopt niet in deze groep!",IF(COUNTIF(Table2[SNR],Table2[[#This Row],[SNR]])&gt;1,"Dubbel",""))</f>
        <v/>
      </c>
    </row>
    <row r="35" spans="1:17" x14ac:dyDescent="0.2">
      <c r="A35">
        <f>IFERROR(VLOOKUP(Table2[[#This Row],[SNR]],Deelnemers[#Data],2,0),"")</f>
        <v>180734</v>
      </c>
      <c r="B35">
        <f>IF(VLOOKUP(Table2[[#This Row],[SNR]],Deelnemers[#Data],8,0)&gt;0,"BM",IF(Table2[[#This Row],[Score]]="Disk",0,MATCH(Table2[[#This Row],[Sorteren]],Table2[Sorteren],0)-COUNTIF($B$7:$B34,"BM")))</f>
        <v>0</v>
      </c>
      <c r="D35" t="str">
        <f>IFERROR(VLOOKUP(Table2[[#This Row],[SNR]],Deelnemers[#Data],3,0),"")</f>
        <v>Saskia Brockmeyer</v>
      </c>
      <c r="E35" t="str">
        <f>IFERROR(VLOOKUP(Table2[[#This Row],[SNR]],Deelnemers[#Data],4,0),"")</f>
        <v>Kim</v>
      </c>
      <c r="F35" t="str">
        <f>IFERROR(VLOOKUP(Table2[[#This Row],[SNR]],Deelnemers[#Data],6,0),"")</f>
        <v>Australian Kelpie</v>
      </c>
      <c r="G35" s="11">
        <v>101</v>
      </c>
      <c r="H35" s="11"/>
      <c r="I35" s="11"/>
      <c r="J35" s="11"/>
      <c r="K35" s="11"/>
      <c r="L35" s="11" t="s">
        <v>326</v>
      </c>
      <c r="M35" t="str">
        <f>IF(OR(ISNUMBER(SEARCH("Jumping", $C$5)),ISNUMBER(SEARCH("Vast Parcours", $C$5)), ISNUMBER(SEARCH("NKT", $C$5))),IF(OR(Table2[[#This Row],[Disk]]&gt;0,Table2[[#This Row],[W]]&gt;=3,Table2[[#This Row],[Tijd]]&gt;$F$3),"Disk",IF(ISBLANK(Table2[[#This Row],[Tijd]]),"",Table2[[#This Row],[Fouten]]+MAX(0,Table2[[#This Row],[Tijd]]-$F$2))),"-")</f>
        <v>Disk</v>
      </c>
      <c r="N35">
        <f>IFERROR(PRODUCT($F$4,1/Table2[[#This Row],[Tijd]]),0)</f>
        <v>0</v>
      </c>
      <c r="O35">
        <f>SUM(Table2[[#This Row],[W]],Table2[[#This Row],[A]],Table2[[#This Row],[F]])*5</f>
        <v>0</v>
      </c>
      <c r="P35" t="str">
        <f>TEXT(Table2[[#This Row],[Score]],"00,00")&amp;TEXT(Table2[[#This Row],[Fouten]],"00")&amp;TEXT(Table2[[#This Row],[Tijd]],"00,000")</f>
        <v>Disk0000,000</v>
      </c>
      <c r="Q35" t="str">
        <f>IF(IFERROR(VLOOKUP(Table2[[#This Row],[SNR]],Deelnemers[#Data],7,0),0)&lt;&gt;$C$4,"Loopt niet in deze groep!",IF(COUNTIF(Table2[SNR],Table2[[#This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:F4">
    <cfRule type="containsBlanks" dxfId="211" priority="1">
      <formula>LEN(TRIM(F1))=0</formula>
    </cfRule>
  </conditionalFormatting>
  <dataValidations count="2">
    <dataValidation type="list" allowBlank="1" showInputMessage="1" showErrorMessage="1" sqref="C4" xr:uid="{00000000-0002-0000-0200-000000000000}">
      <formula1>GroepLijst</formula1>
    </dataValidation>
    <dataValidation type="list" allowBlank="1" showInputMessage="1" showErrorMessage="1" sqref="F1" xr:uid="{00000000-0002-0000-0200-000001000000}">
      <formula1>KeurmeesterLijst</formula1>
    </dataValidation>
  </dataValidations>
  <pageMargins left="0.7" right="0.7" top="0.75" bottom="0.75" header="0.3" footer="0.3"/>
  <pageSetup paperSize="9" scale="57" fitToHeight="0" orientation="portrait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6"/>
  <sheetViews>
    <sheetView workbookViewId="0">
      <selection activeCell="A37" sqref="A37:XFD37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3">
        <v>54</v>
      </c>
      <c r="G2" t="s">
        <v>308</v>
      </c>
      <c r="H2" s="12" t="str">
        <f>$C$4</f>
        <v>1ᵉ graad Large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3">
        <v>84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0</v>
      </c>
      <c r="D4" s="13"/>
      <c r="E4" t="s">
        <v>310</v>
      </c>
      <c r="F4" s="3">
        <v>168</v>
      </c>
      <c r="G4" t="s">
        <v>311</v>
      </c>
      <c r="H4" s="12" t="str">
        <f>$C$5</f>
        <v>Vast Parcours 1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324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IFERROR(VLOOKUP(Table3[[#This Row],[SNR]],Deelnemers[#Data],2,0),"")</f>
        <v>176621</v>
      </c>
      <c r="B8">
        <f>IF(VLOOKUP(Table3[[#This Row],[SNR]],Deelnemers[#Data],8,0)&gt;0,"BM",IF(Table3[[#This Row],[Score]]="Disk",0,MATCH(Table3[[#This Row],[Sorteren]],Table3[Sorteren],0)-COUNTIF($B$7:$B7,"BM")))</f>
        <v>1</v>
      </c>
      <c r="D8" t="str">
        <f>IFERROR(VLOOKUP(Table3[[#This Row],[SNR]],Deelnemers[#Data],3,0),"")</f>
        <v>Anne van den Eerenbeemt</v>
      </c>
      <c r="E8" t="str">
        <f>IFERROR(VLOOKUP(Table3[[#This Row],[SNR]],Deelnemers[#Data],4,0),"")</f>
        <v>Harley Davidson</v>
      </c>
      <c r="F8" t="str">
        <f>IFERROR(VLOOKUP(Table3[[#This Row],[SNR]],Deelnemers[#Data],6,0),"")</f>
        <v>amerikaanse stafford</v>
      </c>
      <c r="G8" s="6">
        <v>102</v>
      </c>
      <c r="H8" s="6">
        <v>42.82</v>
      </c>
      <c r="I8" s="6"/>
      <c r="J8" s="6"/>
      <c r="K8" s="6"/>
      <c r="L8" s="6"/>
      <c r="M8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0</v>
      </c>
      <c r="N8">
        <f>IFERROR(PRODUCT($F$4,1/Table3[[#This Row],[Tijd]]),0)</f>
        <v>3.9234002802428769</v>
      </c>
      <c r="O8">
        <f>SUM(Table3[[#This Row],[W]],Table3[[#This Row],[A]],Table3[[#This Row],[F]])*5</f>
        <v>0</v>
      </c>
      <c r="P8" t="str">
        <f>TEXT(Table3[[#This Row],[Score]],"00,00")&amp;TEXT(Table3[[#This Row],[Fouten]],"00")&amp;TEXT(Table3[[#This Row],[Tijd]],"00,000")</f>
        <v>00,000042,820</v>
      </c>
      <c r="Q8" t="str">
        <f>IF(IFERROR(VLOOKUP(Table3[[#This Row],[SNR]],Deelnemers[#Data],7,0),0)&lt;&gt;$C$4,"Loopt niet in deze groep!",IF(COUNTIF(Table3[SNR],Table3[[#This Row],[SNR]])&gt;1,"Dubbel",""))</f>
        <v/>
      </c>
    </row>
    <row r="9" spans="1:17" x14ac:dyDescent="0.2">
      <c r="A9">
        <f>IFERROR(VLOOKUP(Table3[[#This Row],[SNR]],Deelnemers[#Data],2,0),"")</f>
        <v>176443</v>
      </c>
      <c r="B9">
        <f>IF(VLOOKUP(Table3[[#This Row],[SNR]],Deelnemers[#Data],8,0)&gt;0,"BM",IF(Table3[[#This Row],[Score]]="Disk",0,MATCH(Table3[[#This Row],[Sorteren]],Table3[Sorteren],0)-COUNTIF($B$7:$B8,"BM")))</f>
        <v>2</v>
      </c>
      <c r="D9" t="str">
        <f>IFERROR(VLOOKUP(Table3[[#This Row],[SNR]],Deelnemers[#Data],3,0),"")</f>
        <v>Lenie Henrion Verpoorten</v>
      </c>
      <c r="E9" t="str">
        <f>IFERROR(VLOOKUP(Table3[[#This Row],[SNR]],Deelnemers[#Data],4,0),"")</f>
        <v>Nara</v>
      </c>
      <c r="F9" t="str">
        <f>IFERROR(VLOOKUP(Table3[[#This Row],[SNR]],Deelnemers[#Data],6,0),"")</f>
        <v>Australian Shepherd</v>
      </c>
      <c r="G9" s="6">
        <v>99</v>
      </c>
      <c r="H9" s="6">
        <v>49.58</v>
      </c>
      <c r="I9" s="6"/>
      <c r="J9" s="6"/>
      <c r="K9" s="6"/>
      <c r="L9" s="6"/>
      <c r="M9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0</v>
      </c>
      <c r="N9">
        <f>IFERROR(PRODUCT($F$4,1/Table3[[#This Row],[Tijd]]),0)</f>
        <v>3.3884630899556272</v>
      </c>
      <c r="O9">
        <f>SUM(Table3[[#This Row],[W]],Table3[[#This Row],[A]],Table3[[#This Row],[F]])*5</f>
        <v>0</v>
      </c>
      <c r="P9" t="str">
        <f>TEXT(Table3[[#This Row],[Score]],"00,00")&amp;TEXT(Table3[[#This Row],[Fouten]],"00")&amp;TEXT(Table3[[#This Row],[Tijd]],"00,000")</f>
        <v>00,000049,580</v>
      </c>
      <c r="Q9" t="str">
        <f>IF(IFERROR(VLOOKUP(Table3[[#This Row],[SNR]],Deelnemers[#Data],7,0),0)&lt;&gt;$C$4,"Loopt niet in deze groep!",IF(COUNTIF(Table3[SNR],Table3[[#This Row],[SNR]])&gt;1,"Dubbel",""))</f>
        <v/>
      </c>
    </row>
    <row r="10" spans="1:17" x14ac:dyDescent="0.2">
      <c r="A10">
        <f>IFERROR(VLOOKUP(Table3[[#This Row],[SNR]],Deelnemers[#Data],2,0),"")</f>
        <v>174742</v>
      </c>
      <c r="B10">
        <f>IF(VLOOKUP(Table3[[#This Row],[SNR]],Deelnemers[#Data],8,0)&gt;0,"BM",IF(Table3[[#This Row],[Score]]="Disk",0,MATCH(Table3[[#This Row],[Sorteren]],Table3[Sorteren],0)-COUNTIF($B$7:$B9,"BM")))</f>
        <v>3</v>
      </c>
      <c r="D10" t="str">
        <f>IFERROR(VLOOKUP(Table3[[#This Row],[SNR]],Deelnemers[#Data],3,0),"")</f>
        <v>Lenie Henrion Verpoorten</v>
      </c>
      <c r="E10" t="str">
        <f>IFERROR(VLOOKUP(Table3[[#This Row],[SNR]],Deelnemers[#Data],4,0),"")</f>
        <v>Brann</v>
      </c>
      <c r="F10" t="str">
        <f>IFERROR(VLOOKUP(Table3[[#This Row],[SNR]],Deelnemers[#Data],6,0),"")</f>
        <v>Australian Shepherd</v>
      </c>
      <c r="G10">
        <v>71</v>
      </c>
      <c r="H10">
        <v>51.12</v>
      </c>
      <c r="M10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0</v>
      </c>
      <c r="N10">
        <f>IFERROR(PRODUCT($F$4,1/Table3[[#This Row],[Tijd]]),0)</f>
        <v>3.286384976525822</v>
      </c>
      <c r="O10">
        <f>SUM(Table3[[#This Row],[W]],Table3[[#This Row],[A]],Table3[[#This Row],[F]])*5</f>
        <v>0</v>
      </c>
      <c r="P10" t="str">
        <f>TEXT(Table3[[#This Row],[Score]],"00,00")&amp;TEXT(Table3[[#This Row],[Fouten]],"00")&amp;TEXT(Table3[[#This Row],[Tijd]],"00,000")</f>
        <v>00,000051,120</v>
      </c>
      <c r="Q10" t="str">
        <f>IF(IFERROR(VLOOKUP(Table3[[#This Row],[SNR]],Deelnemers[#Data],7,0),0)&lt;&gt;$C$4,"Loopt niet in deze groep!",IF(COUNTIF(Table3[SNR],Table3[[#This Row],[SNR]])&gt;1,"Dubbel",""))</f>
        <v/>
      </c>
    </row>
    <row r="11" spans="1:17" x14ac:dyDescent="0.2">
      <c r="A11">
        <f>IFERROR(VLOOKUP(Table3[[#This Row],[SNR]],Deelnemers[#Data],2,0),"")</f>
        <v>184616</v>
      </c>
      <c r="B11">
        <f>IF(VLOOKUP(Table3[[#This Row],[SNR]],Deelnemers[#Data],8,0)&gt;0,"BM",IF(Table3[[#This Row],[Score]]="Disk",0,MATCH(Table3[[#This Row],[Sorteren]],Table3[Sorteren],0)-COUNTIF($B$7:$B10,"BM")))</f>
        <v>4</v>
      </c>
      <c r="D11" t="str">
        <f>IFERROR(VLOOKUP(Table3[[#This Row],[SNR]],Deelnemers[#Data],3,0),"")</f>
        <v>Carla van der Kolk-la Crois</v>
      </c>
      <c r="E11" t="str">
        <f>IFERROR(VLOOKUP(Table3[[#This Row],[SNR]],Deelnemers[#Data],4,0),"")</f>
        <v>Abby</v>
      </c>
      <c r="F11" t="str">
        <f>IFERROR(VLOOKUP(Table3[[#This Row],[SNR]],Deelnemers[#Data],6,0),"")</f>
        <v>Australian Shepherd</v>
      </c>
      <c r="G11" s="6">
        <v>100</v>
      </c>
      <c r="H11" s="6">
        <v>38.46</v>
      </c>
      <c r="I11" s="6"/>
      <c r="J11" s="6"/>
      <c r="K11" s="6">
        <v>1</v>
      </c>
      <c r="L11" s="6"/>
      <c r="M11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5</v>
      </c>
      <c r="N11">
        <f>IFERROR(PRODUCT($F$4,1/Table3[[#This Row],[Tijd]]),0)</f>
        <v>4.3681747269890794</v>
      </c>
      <c r="O11">
        <f>SUM(Table3[[#This Row],[W]],Table3[[#This Row],[A]],Table3[[#This Row],[F]])*5</f>
        <v>5</v>
      </c>
      <c r="P11" t="str">
        <f>TEXT(Table3[[#This Row],[Score]],"00,00")&amp;TEXT(Table3[[#This Row],[Fouten]],"00")&amp;TEXT(Table3[[#This Row],[Tijd]],"00,000")</f>
        <v>05,000538,460</v>
      </c>
      <c r="Q11" t="str">
        <f>IF(IFERROR(VLOOKUP(Table3[[#This Row],[SNR]],Deelnemers[#Data],7,0),0)&lt;&gt;$C$4,"Loopt niet in deze groep!",IF(COUNTIF(Table3[SNR],Table3[[#This Row],[SNR]])&gt;1,"Dubbel",""))</f>
        <v/>
      </c>
    </row>
    <row r="12" spans="1:17" x14ac:dyDescent="0.2">
      <c r="A12">
        <f>IFERROR(VLOOKUP(Table3[[#This Row],[SNR]],Deelnemers[#Data],2,0),"")</f>
        <v>172766</v>
      </c>
      <c r="B12">
        <f>IF(VLOOKUP(Table3[[#This Row],[SNR]],Deelnemers[#Data],8,0)&gt;0,"BM",IF(Table3[[#This Row],[Score]]="Disk",0,MATCH(Table3[[#This Row],[Sorteren]],Table3[Sorteren],0)-COUNTIF($B$7:$B11,"BM")))</f>
        <v>5</v>
      </c>
      <c r="D12" t="str">
        <f>IFERROR(VLOOKUP(Table3[[#This Row],[SNR]],Deelnemers[#Data],3,0),"")</f>
        <v>Kim Verkade</v>
      </c>
      <c r="E12" t="str">
        <f>IFERROR(VLOOKUP(Table3[[#This Row],[SNR]],Deelnemers[#Data],4,0),"")</f>
        <v>Zeno</v>
      </c>
      <c r="F12" t="str">
        <f>IFERROR(VLOOKUP(Table3[[#This Row],[SNR]],Deelnemers[#Data],6,0),"")</f>
        <v>Border Collie</v>
      </c>
      <c r="G12" s="6">
        <v>83</v>
      </c>
      <c r="H12" s="6">
        <v>40.700000000000003</v>
      </c>
      <c r="I12" s="6">
        <v>1</v>
      </c>
      <c r="J12" s="6"/>
      <c r="K12" s="6"/>
      <c r="L12" s="6"/>
      <c r="M12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5</v>
      </c>
      <c r="N12">
        <f>IFERROR(PRODUCT($F$4,1/Table3[[#This Row],[Tijd]]),0)</f>
        <v>4.1277641277641273</v>
      </c>
      <c r="O12">
        <f>SUM(Table3[[#This Row],[W]],Table3[[#This Row],[A]],Table3[[#This Row],[F]])*5</f>
        <v>5</v>
      </c>
      <c r="P12" t="str">
        <f>TEXT(Table3[[#This Row],[Score]],"00,00")&amp;TEXT(Table3[[#This Row],[Fouten]],"00")&amp;TEXT(Table3[[#This Row],[Tijd]],"00,000")</f>
        <v>05,000540,700</v>
      </c>
      <c r="Q12" t="str">
        <f>IF(IFERROR(VLOOKUP(Table3[[#This Row],[SNR]],Deelnemers[#Data],7,0),0)&lt;&gt;$C$4,"Loopt niet in deze groep!",IF(COUNTIF(Table3[SNR],Table3[[#This Row],[SNR]])&gt;1,"Dubbel",""))</f>
        <v/>
      </c>
    </row>
    <row r="13" spans="1:17" x14ac:dyDescent="0.2">
      <c r="A13">
        <f>IFERROR(VLOOKUP(Table3[[#This Row],[SNR]],Deelnemers[#Data],2,0),"")</f>
        <v>172596</v>
      </c>
      <c r="B13">
        <f>IF(VLOOKUP(Table3[[#This Row],[SNR]],Deelnemers[#Data],8,0)&gt;0,"BM",IF(Table3[[#This Row],[Score]]="Disk",0,MATCH(Table3[[#This Row],[Sorteren]],Table3[Sorteren],0)-COUNTIF($B$7:$B12,"BM")))</f>
        <v>6</v>
      </c>
      <c r="D13" t="str">
        <f>IFERROR(VLOOKUP(Table3[[#This Row],[SNR]],Deelnemers[#Data],3,0),"")</f>
        <v>Alida Wekema-Torensma</v>
      </c>
      <c r="E13" t="str">
        <f>IFERROR(VLOOKUP(Table3[[#This Row],[SNR]],Deelnemers[#Data],4,0),"")</f>
        <v>Mailo</v>
      </c>
      <c r="F13" t="str">
        <f>IFERROR(VLOOKUP(Table3[[#This Row],[SNR]],Deelnemers[#Data],6,0),"")</f>
        <v>Nova Scotia Duck Tolling Retriever</v>
      </c>
      <c r="G13" s="6">
        <v>77</v>
      </c>
      <c r="H13" s="6">
        <v>43.1</v>
      </c>
      <c r="I13" s="6"/>
      <c r="J13" s="6"/>
      <c r="K13" s="6">
        <v>1</v>
      </c>
      <c r="L13" s="6"/>
      <c r="M13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5</v>
      </c>
      <c r="N13">
        <f>IFERROR(PRODUCT($F$4,1/Table3[[#This Row],[Tijd]]),0)</f>
        <v>3.8979118329466358</v>
      </c>
      <c r="O13">
        <f>SUM(Table3[[#This Row],[W]],Table3[[#This Row],[A]],Table3[[#This Row],[F]])*5</f>
        <v>5</v>
      </c>
      <c r="P13" t="str">
        <f>TEXT(Table3[[#This Row],[Score]],"00,00")&amp;TEXT(Table3[[#This Row],[Fouten]],"00")&amp;TEXT(Table3[[#This Row],[Tijd]],"00,000")</f>
        <v>05,000543,100</v>
      </c>
      <c r="Q13" t="str">
        <f>IF(IFERROR(VLOOKUP(Table3[[#This Row],[SNR]],Deelnemers[#Data],7,0),0)&lt;&gt;$C$4,"Loopt niet in deze groep!",IF(COUNTIF(Table3[SNR],Table3[[#This Row],[SNR]])&gt;1,"Dubbel",""))</f>
        <v/>
      </c>
    </row>
    <row r="14" spans="1:17" x14ac:dyDescent="0.2">
      <c r="A14">
        <f>IFERROR(VLOOKUP(Table3[[#This Row],[SNR]],Deelnemers[#Data],2,0),"")</f>
        <v>180076</v>
      </c>
      <c r="B14">
        <f>IF(VLOOKUP(Table3[[#This Row],[SNR]],Deelnemers[#Data],8,0)&gt;0,"BM",IF(Table3[[#This Row],[Score]]="Disk",0,MATCH(Table3[[#This Row],[Sorteren]],Table3[Sorteren],0)-COUNTIF($B$7:$B13,"BM")))</f>
        <v>7</v>
      </c>
      <c r="D14" t="str">
        <f>IFERROR(VLOOKUP(Table3[[#This Row],[SNR]],Deelnemers[#Data],3,0),"")</f>
        <v>Agnes Verhoef</v>
      </c>
      <c r="E14" t="str">
        <f>IFERROR(VLOOKUP(Table3[[#This Row],[SNR]],Deelnemers[#Data],4,0),"")</f>
        <v>Rose</v>
      </c>
      <c r="F14" t="str">
        <f>IFERROR(VLOOKUP(Table3[[#This Row],[SNR]],Deelnemers[#Data],6,0),"")</f>
        <v>Golden Retriever</v>
      </c>
      <c r="G14" s="6">
        <v>81</v>
      </c>
      <c r="H14" s="6">
        <v>56.76</v>
      </c>
      <c r="I14" s="6">
        <v>1</v>
      </c>
      <c r="J14" s="6"/>
      <c r="K14" s="6"/>
      <c r="L14" s="6"/>
      <c r="M14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7.759999999999998</v>
      </c>
      <c r="N14">
        <f>IFERROR(PRODUCT($F$4,1/Table3[[#This Row],[Tijd]]),0)</f>
        <v>2.9598308668076108</v>
      </c>
      <c r="O14">
        <f>SUM(Table3[[#This Row],[W]],Table3[[#This Row],[A]],Table3[[#This Row],[F]])*5</f>
        <v>5</v>
      </c>
      <c r="P14" t="str">
        <f>TEXT(Table3[[#This Row],[Score]],"00,00")&amp;TEXT(Table3[[#This Row],[Fouten]],"00")&amp;TEXT(Table3[[#This Row],[Tijd]],"00,000")</f>
        <v>07,760556,760</v>
      </c>
      <c r="Q14" t="str">
        <f>IF(IFERROR(VLOOKUP(Table3[[#This Row],[SNR]],Deelnemers[#Data],7,0),0)&lt;&gt;$C$4,"Loopt niet in deze groep!",IF(COUNTIF(Table3[SNR],Table3[[#This Row],[SNR]])&gt;1,"Dubbel",""))</f>
        <v/>
      </c>
    </row>
    <row r="15" spans="1:17" x14ac:dyDescent="0.2">
      <c r="A15">
        <f>IFERROR(VLOOKUP(Table3[[#This Row],[SNR]],Deelnemers[#Data],2,0),"")</f>
        <v>174998</v>
      </c>
      <c r="B15">
        <f>IF(VLOOKUP(Table3[[#This Row],[SNR]],Deelnemers[#Data],8,0)&gt;0,"BM",IF(Table3[[#This Row],[Score]]="Disk",0,MATCH(Table3[[#This Row],[Sorteren]],Table3[Sorteren],0)-COUNTIF($B$7:$B14,"BM")))</f>
        <v>8</v>
      </c>
      <c r="D15" t="str">
        <f>IFERROR(VLOOKUP(Table3[[#This Row],[SNR]],Deelnemers[#Data],3,0),"")</f>
        <v>Sharon Erenstein</v>
      </c>
      <c r="E15" t="str">
        <f>IFERROR(VLOOKUP(Table3[[#This Row],[SNR]],Deelnemers[#Data],4,0),"")</f>
        <v>Taboo</v>
      </c>
      <c r="F15" t="str">
        <f>IFERROR(VLOOKUP(Table3[[#This Row],[SNR]],Deelnemers[#Data],6,0),"")</f>
        <v>Rottweiler</v>
      </c>
      <c r="G15" s="6">
        <v>74</v>
      </c>
      <c r="H15" s="6">
        <v>53.16</v>
      </c>
      <c r="I15" s="6">
        <v>1</v>
      </c>
      <c r="J15" s="6"/>
      <c r="K15" s="6">
        <v>1</v>
      </c>
      <c r="L15" s="6"/>
      <c r="M15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10</v>
      </c>
      <c r="N15">
        <f>IFERROR(PRODUCT($F$4,1/Table3[[#This Row],[Tijd]]),0)</f>
        <v>3.1602708803611739</v>
      </c>
      <c r="O15">
        <f>SUM(Table3[[#This Row],[W]],Table3[[#This Row],[A]],Table3[[#This Row],[F]])*5</f>
        <v>10</v>
      </c>
      <c r="P15" t="str">
        <f>TEXT(Table3[[#This Row],[Score]],"00,00")&amp;TEXT(Table3[[#This Row],[Fouten]],"00")&amp;TEXT(Table3[[#This Row],[Tijd]],"00,000")</f>
        <v>10,001053,160</v>
      </c>
      <c r="Q15" t="str">
        <f>IF(IFERROR(VLOOKUP(Table3[[#This Row],[SNR]],Deelnemers[#Data],7,0),0)&lt;&gt;$C$4,"Loopt niet in deze groep!",IF(COUNTIF(Table3[SNR],Table3[[#This Row],[SNR]])&gt;1,"Dubbel",""))</f>
        <v/>
      </c>
    </row>
    <row r="16" spans="1:17" x14ac:dyDescent="0.2">
      <c r="A16">
        <f>IFERROR(VLOOKUP(Table3[[#This Row],[SNR]],Deelnemers[#Data],2,0),"")</f>
        <v>181145</v>
      </c>
      <c r="B16">
        <f>IF(VLOOKUP(Table3[[#This Row],[SNR]],Deelnemers[#Data],8,0)&gt;0,"BM",IF(Table3[[#This Row],[Score]]="Disk",0,MATCH(Table3[[#This Row],[Sorteren]],Table3[Sorteren],0)-COUNTIF($B$7:$B15,"BM")))</f>
        <v>9</v>
      </c>
      <c r="D16" t="str">
        <f>IFERROR(VLOOKUP(Table3[[#This Row],[SNR]],Deelnemers[#Data],3,0),"")</f>
        <v>Eerjan de Bruijn</v>
      </c>
      <c r="E16" t="str">
        <f>IFERROR(VLOOKUP(Table3[[#This Row],[SNR]],Deelnemers[#Data],4,0),"")</f>
        <v>Cara</v>
      </c>
      <c r="F16" t="str">
        <f>IFERROR(VLOOKUP(Table3[[#This Row],[SNR]],Deelnemers[#Data],6,0),"")</f>
        <v>Border Collie</v>
      </c>
      <c r="G16" s="6">
        <v>90</v>
      </c>
      <c r="H16" s="6">
        <v>46.36</v>
      </c>
      <c r="I16" s="6">
        <v>2</v>
      </c>
      <c r="J16" s="6"/>
      <c r="K16" s="6">
        <v>1</v>
      </c>
      <c r="L16" s="6"/>
      <c r="M16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15</v>
      </c>
      <c r="N16">
        <f>IFERROR(PRODUCT($F$4,1/Table3[[#This Row],[Tijd]]),0)</f>
        <v>3.6238136324417605</v>
      </c>
      <c r="O16">
        <f>SUM(Table3[[#This Row],[W]],Table3[[#This Row],[A]],Table3[[#This Row],[F]])*5</f>
        <v>15</v>
      </c>
      <c r="P16" t="str">
        <f>TEXT(Table3[[#This Row],[Score]],"00,00")&amp;TEXT(Table3[[#This Row],[Fouten]],"00")&amp;TEXT(Table3[[#This Row],[Tijd]],"00,000")</f>
        <v>15,001546,360</v>
      </c>
      <c r="Q16" t="str">
        <f>IF(IFERROR(VLOOKUP(Table3[[#This Row],[SNR]],Deelnemers[#Data],7,0),0)&lt;&gt;$C$4,"Loopt niet in deze groep!",IF(COUNTIF(Table3[SNR],Table3[[#This Row],[SNR]])&gt;1,"Dubbel",""))</f>
        <v/>
      </c>
    </row>
    <row r="17" spans="1:17" x14ac:dyDescent="0.2">
      <c r="A17">
        <f>IFERROR(VLOOKUP(Table3[[#This Row],[SNR]],Deelnemers[#Data],2,0),"")</f>
        <v>181552</v>
      </c>
      <c r="B17">
        <f>IF(VLOOKUP(Table3[[#This Row],[SNR]],Deelnemers[#Data],8,0)&gt;0,"BM",IF(Table3[[#This Row],[Score]]="Disk",0,MATCH(Table3[[#This Row],[Sorteren]],Table3[Sorteren],0)-COUNTIF($B$7:$B16,"BM")))</f>
        <v>10</v>
      </c>
      <c r="D17" t="str">
        <f>IFERROR(VLOOKUP(Table3[[#This Row],[SNR]],Deelnemers[#Data],3,0),"")</f>
        <v>Thea van Niekerk</v>
      </c>
      <c r="E17" t="str">
        <f>IFERROR(VLOOKUP(Table3[[#This Row],[SNR]],Deelnemers[#Data],4,0),"")</f>
        <v>Ellis</v>
      </c>
      <c r="F17" t="str">
        <f>IFERROR(VLOOKUP(Table3[[#This Row],[SNR]],Deelnemers[#Data],6,0),"")</f>
        <v>Belgische Herdershond, Groenendaeler</v>
      </c>
      <c r="G17" s="6">
        <v>96</v>
      </c>
      <c r="H17" s="6">
        <v>66.180000000000007</v>
      </c>
      <c r="I17" s="6">
        <v>2</v>
      </c>
      <c r="J17" s="6"/>
      <c r="K17" s="6"/>
      <c r="L17" s="6"/>
      <c r="M17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22.180000000000007</v>
      </c>
      <c r="N17">
        <f>IFERROR(PRODUCT($F$4,1/Table3[[#This Row],[Tijd]]),0)</f>
        <v>2.5385312783318219</v>
      </c>
      <c r="O17">
        <f>SUM(Table3[[#This Row],[W]],Table3[[#This Row],[A]],Table3[[#This Row],[F]])*5</f>
        <v>10</v>
      </c>
      <c r="P17" t="str">
        <f>TEXT(Table3[[#This Row],[Score]],"00,00")&amp;TEXT(Table3[[#This Row],[Fouten]],"00")&amp;TEXT(Table3[[#This Row],[Tijd]],"00,000")</f>
        <v>22,181066,180</v>
      </c>
      <c r="Q17" t="str">
        <f>IF(IFERROR(VLOOKUP(Table3[[#This Row],[SNR]],Deelnemers[#Data],7,0),0)&lt;&gt;$C$4,"Loopt niet in deze groep!",IF(COUNTIF(Table3[SNR],Table3[[#This Row],[SNR]])&gt;1,"Dubbel",""))</f>
        <v/>
      </c>
    </row>
    <row r="18" spans="1:17" x14ac:dyDescent="0.2">
      <c r="A18">
        <f>IFERROR(VLOOKUP(Table3[[#This Row],[SNR]],Deelnemers[#Data],2,0),"")</f>
        <v>151378</v>
      </c>
      <c r="B18">
        <f>IF(VLOOKUP(Table3[[#This Row],[SNR]],Deelnemers[#Data],8,0)&gt;0,"BM",IF(Table3[[#This Row],[Score]]="Disk",0,MATCH(Table3[[#This Row],[Sorteren]],Table3[Sorteren],0)-COUNTIF($B$7:$B17,"BM")))</f>
        <v>0</v>
      </c>
      <c r="D18" t="str">
        <f>IFERROR(VLOOKUP(Table3[[#This Row],[SNR]],Deelnemers[#Data],3,0),"")</f>
        <v>Danielle van den Dobbelsteen</v>
      </c>
      <c r="E18" t="str">
        <f>IFERROR(VLOOKUP(Table3[[#This Row],[SNR]],Deelnemers[#Data],4,0),"")</f>
        <v>Django</v>
      </c>
      <c r="F18" t="str">
        <f>IFERROR(VLOOKUP(Table3[[#This Row],[SNR]],Deelnemers[#Data],6,0),"")</f>
        <v>Zwitserse Witte Herder</v>
      </c>
      <c r="G18" s="6">
        <v>73</v>
      </c>
      <c r="H18" s="6"/>
      <c r="I18" s="6"/>
      <c r="J18" s="6"/>
      <c r="K18" s="6"/>
      <c r="L18" s="6" t="s">
        <v>326</v>
      </c>
      <c r="M18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18">
        <f>IFERROR(PRODUCT($F$4,1/Table3[[#This Row],[Tijd]]),0)</f>
        <v>0</v>
      </c>
      <c r="O18">
        <f>SUM(Table3[[#This Row],[W]],Table3[[#This Row],[A]],Table3[[#This Row],[F]])*5</f>
        <v>0</v>
      </c>
      <c r="P18" t="str">
        <f>TEXT(Table3[[#This Row],[Score]],"00,00")&amp;TEXT(Table3[[#This Row],[Fouten]],"00")&amp;TEXT(Table3[[#This Row],[Tijd]],"00,000")</f>
        <v>Disk0000,000</v>
      </c>
      <c r="Q18" t="str">
        <f>IF(IFERROR(VLOOKUP(Table3[[#This Row],[SNR]],Deelnemers[#Data],7,0),0)&lt;&gt;$C$4,"Loopt niet in deze groep!",IF(COUNTIF(Table3[SNR],Table3[[#This Row],[SNR]])&gt;1,"Dubbel",""))</f>
        <v/>
      </c>
    </row>
    <row r="19" spans="1:17" x14ac:dyDescent="0.2">
      <c r="A19">
        <f>IFERROR(VLOOKUP(Table3[[#This Row],[SNR]],Deelnemers[#Data],2,0),"")</f>
        <v>183911</v>
      </c>
      <c r="B19">
        <f>IF(VLOOKUP(Table3[[#This Row],[SNR]],Deelnemers[#Data],8,0)&gt;0,"BM",IF(Table3[[#This Row],[Score]]="Disk",0,MATCH(Table3[[#This Row],[Sorteren]],Table3[Sorteren],0)-COUNTIF($B$7:$B18,"BM")))</f>
        <v>0</v>
      </c>
      <c r="D19" t="str">
        <f>IFERROR(VLOOKUP(Table3[[#This Row],[SNR]],Deelnemers[#Data],3,0),"")</f>
        <v>Jolanda Eiling</v>
      </c>
      <c r="E19" t="str">
        <f>IFERROR(VLOOKUP(Table3[[#This Row],[SNR]],Deelnemers[#Data],4,0),"")</f>
        <v>Danica</v>
      </c>
      <c r="F19" t="str">
        <f>IFERROR(VLOOKUP(Table3[[#This Row],[SNR]],Deelnemers[#Data],6,0),"")</f>
        <v>Poedel, Standaard (Zwart)</v>
      </c>
      <c r="G19" s="6">
        <v>76</v>
      </c>
      <c r="H19" s="6"/>
      <c r="I19" s="6"/>
      <c r="J19" s="6"/>
      <c r="K19" s="6"/>
      <c r="L19" s="6" t="s">
        <v>326</v>
      </c>
      <c r="M19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19">
        <f>IFERROR(PRODUCT($F$4,1/Table3[[#This Row],[Tijd]]),0)</f>
        <v>0</v>
      </c>
      <c r="O19">
        <f>SUM(Table3[[#This Row],[W]],Table3[[#This Row],[A]],Table3[[#This Row],[F]])*5</f>
        <v>0</v>
      </c>
      <c r="P19" t="str">
        <f>TEXT(Table3[[#This Row],[Score]],"00,00")&amp;TEXT(Table3[[#This Row],[Fouten]],"00")&amp;TEXT(Table3[[#This Row],[Tijd]],"00,000")</f>
        <v>Disk0000,000</v>
      </c>
      <c r="Q19" t="str">
        <f>IF(IFERROR(VLOOKUP(Table3[[#This Row],[SNR]],Deelnemers[#Data],7,0),0)&lt;&gt;$C$4,"Loopt niet in deze groep!",IF(COUNTIF(Table3[SNR],Table3[[#This Row],[SNR]])&gt;1,"Dubbel",""))</f>
        <v/>
      </c>
    </row>
    <row r="20" spans="1:17" x14ac:dyDescent="0.2">
      <c r="A20">
        <f>IFERROR(VLOOKUP(Table3[[#This Row],[SNR]],Deelnemers[#Data],2,0),"")</f>
        <v>171387</v>
      </c>
      <c r="B20">
        <f>IF(VLOOKUP(Table3[[#This Row],[SNR]],Deelnemers[#Data],8,0)&gt;0,"BM",IF(Table3[[#This Row],[Score]]="Disk",0,MATCH(Table3[[#This Row],[Sorteren]],Table3[Sorteren],0)-COUNTIF($B$7:$B19,"BM")))</f>
        <v>0</v>
      </c>
      <c r="D20" t="str">
        <f>IFERROR(VLOOKUP(Table3[[#This Row],[SNR]],Deelnemers[#Data],3,0),"")</f>
        <v>Marjolijn Harders</v>
      </c>
      <c r="E20" t="str">
        <f>IFERROR(VLOOKUP(Table3[[#This Row],[SNR]],Deelnemers[#Data],4,0),"")</f>
        <v>Raya</v>
      </c>
      <c r="F20" t="str">
        <f>IFERROR(VLOOKUP(Table3[[#This Row],[SNR]],Deelnemers[#Data],6,0),"")</f>
        <v>kruising</v>
      </c>
      <c r="G20" s="6">
        <v>78</v>
      </c>
      <c r="H20" s="6"/>
      <c r="I20" s="6"/>
      <c r="J20" s="6"/>
      <c r="K20" s="6"/>
      <c r="L20" s="6" t="s">
        <v>326</v>
      </c>
      <c r="M20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20">
        <f>IFERROR(PRODUCT($F$4,1/Table3[[#This Row],[Tijd]]),0)</f>
        <v>0</v>
      </c>
      <c r="O20">
        <f>SUM(Table3[[#This Row],[W]],Table3[[#This Row],[A]],Table3[[#This Row],[F]])*5</f>
        <v>0</v>
      </c>
      <c r="P20" t="str">
        <f>TEXT(Table3[[#This Row],[Score]],"00,00")&amp;TEXT(Table3[[#This Row],[Fouten]],"00")&amp;TEXT(Table3[[#This Row],[Tijd]],"00,000")</f>
        <v>Disk0000,000</v>
      </c>
      <c r="Q20" t="str">
        <f>IF(IFERROR(VLOOKUP(Table3[[#This Row],[SNR]],Deelnemers[#Data],7,0),0)&lt;&gt;$C$4,"Loopt niet in deze groep!",IF(COUNTIF(Table3[SNR],Table3[[#This Row],[SNR]])&gt;1,"Dubbel",""))</f>
        <v/>
      </c>
    </row>
    <row r="21" spans="1:17" x14ac:dyDescent="0.2">
      <c r="A21">
        <f>IFERROR(VLOOKUP(Table3[[#This Row],[SNR]],Deelnemers[#Data],2,0),"")</f>
        <v>430646</v>
      </c>
      <c r="B21">
        <f>IF(VLOOKUP(Table3[[#This Row],[SNR]],Deelnemers[#Data],8,0)&gt;0,"BM",IF(Table3[[#This Row],[Score]]="Disk",0,MATCH(Table3[[#This Row],[Sorteren]],Table3[Sorteren],0)-COUNTIF($B$7:$B20,"BM")))</f>
        <v>0</v>
      </c>
      <c r="D21" t="str">
        <f>IFERROR(VLOOKUP(Table3[[#This Row],[SNR]],Deelnemers[#Data],3,0),"")</f>
        <v>Sia Beuving</v>
      </c>
      <c r="E21" t="str">
        <f>IFERROR(VLOOKUP(Table3[[#This Row],[SNR]],Deelnemers[#Data],4,0),"")</f>
        <v>Chito</v>
      </c>
      <c r="F21" t="str">
        <f>IFERROR(VLOOKUP(Table3[[#This Row],[SNR]],Deelnemers[#Data],6,0),"")</f>
        <v>Hovawart</v>
      </c>
      <c r="G21" s="6">
        <v>79</v>
      </c>
      <c r="H21" s="6"/>
      <c r="I21" s="6"/>
      <c r="J21" s="6"/>
      <c r="K21" s="6"/>
      <c r="L21" s="6" t="s">
        <v>326</v>
      </c>
      <c r="M21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21">
        <f>IFERROR(PRODUCT($F$4,1/Table3[[#This Row],[Tijd]]),0)</f>
        <v>0</v>
      </c>
      <c r="O21">
        <f>SUM(Table3[[#This Row],[W]],Table3[[#This Row],[A]],Table3[[#This Row],[F]])*5</f>
        <v>0</v>
      </c>
      <c r="P21" t="str">
        <f>TEXT(Table3[[#This Row],[Score]],"00,00")&amp;TEXT(Table3[[#This Row],[Fouten]],"00")&amp;TEXT(Table3[[#This Row],[Tijd]],"00,000")</f>
        <v>Disk0000,000</v>
      </c>
      <c r="Q21" t="str">
        <f>IF(IFERROR(VLOOKUP(Table3[[#This Row],[SNR]],Deelnemers[#Data],7,0),0)&lt;&gt;$C$4,"Loopt niet in deze groep!",IF(COUNTIF(Table3[SNR],Table3[[#This Row],[SNR]])&gt;1,"Dubbel",""))</f>
        <v/>
      </c>
    </row>
    <row r="22" spans="1:17" x14ac:dyDescent="0.2">
      <c r="A22">
        <f>IFERROR(VLOOKUP(Table3[[#This Row],[SNR]],Deelnemers[#Data],2,0),"")</f>
        <v>160482</v>
      </c>
      <c r="B22">
        <f>IF(VLOOKUP(Table3[[#This Row],[SNR]],Deelnemers[#Data],8,0)&gt;0,"BM",IF(Table3[[#This Row],[Score]]="Disk",0,MATCH(Table3[[#This Row],[Sorteren]],Table3[Sorteren],0)-COUNTIF($B$7:$B21,"BM")))</f>
        <v>0</v>
      </c>
      <c r="D22" t="str">
        <f>IFERROR(VLOOKUP(Table3[[#This Row],[SNR]],Deelnemers[#Data],3,0),"")</f>
        <v>Danique Lagerwaard</v>
      </c>
      <c r="E22" t="str">
        <f>IFERROR(VLOOKUP(Table3[[#This Row],[SNR]],Deelnemers[#Data],4,0),"")</f>
        <v>LB LESS</v>
      </c>
      <c r="F22" t="str">
        <f>IFERROR(VLOOKUP(Table3[[#This Row],[SNR]],Deelnemers[#Data],6,0),"")</f>
        <v>Border Collie</v>
      </c>
      <c r="G22" s="6">
        <v>82</v>
      </c>
      <c r="H22" s="6"/>
      <c r="I22" s="6"/>
      <c r="J22" s="6"/>
      <c r="K22" s="6"/>
      <c r="L22" s="6" t="s">
        <v>326</v>
      </c>
      <c r="M22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22">
        <f>IFERROR(PRODUCT($F$4,1/Table3[[#This Row],[Tijd]]),0)</f>
        <v>0</v>
      </c>
      <c r="O22">
        <f>SUM(Table3[[#This Row],[W]],Table3[[#This Row],[A]],Table3[[#This Row],[F]])*5</f>
        <v>0</v>
      </c>
      <c r="P22" t="str">
        <f>TEXT(Table3[[#This Row],[Score]],"00,00")&amp;TEXT(Table3[[#This Row],[Fouten]],"00")&amp;TEXT(Table3[[#This Row],[Tijd]],"00,000")</f>
        <v>Disk0000,000</v>
      </c>
      <c r="Q22" t="str">
        <f>IF(IFERROR(VLOOKUP(Table3[[#This Row],[SNR]],Deelnemers[#Data],7,0),0)&lt;&gt;$C$4,"Loopt niet in deze groep!",IF(COUNTIF(Table3[SNR],Table3[[#This Row],[SNR]])&gt;1,"Dubbel",""))</f>
        <v/>
      </c>
    </row>
    <row r="23" spans="1:17" x14ac:dyDescent="0.2">
      <c r="A23">
        <f>IFERROR(VLOOKUP(Table3[[#This Row],[SNR]],Deelnemers[#Data],2,0),"")</f>
        <v>173657</v>
      </c>
      <c r="B23">
        <f>IF(VLOOKUP(Table3[[#This Row],[SNR]],Deelnemers[#Data],8,0)&gt;0,"BM",IF(Table3[[#This Row],[Score]]="Disk",0,MATCH(Table3[[#This Row],[Sorteren]],Table3[Sorteren],0)-COUNTIF($B$7:$B22,"BM")))</f>
        <v>0</v>
      </c>
      <c r="D23" t="str">
        <f>IFERROR(VLOOKUP(Table3[[#This Row],[SNR]],Deelnemers[#Data],3,0),"")</f>
        <v>Hennie Roemahlewang</v>
      </c>
      <c r="E23" t="str">
        <f>IFERROR(VLOOKUP(Table3[[#This Row],[SNR]],Deelnemers[#Data],4,0),"")</f>
        <v>Rush</v>
      </c>
      <c r="F23" t="str">
        <f>IFERROR(VLOOKUP(Table3[[#This Row],[SNR]],Deelnemers[#Data],6,0),"")</f>
        <v>Border Collie</v>
      </c>
      <c r="G23" s="6">
        <v>84</v>
      </c>
      <c r="H23" s="6"/>
      <c r="I23" s="6"/>
      <c r="J23" s="6"/>
      <c r="K23" s="6"/>
      <c r="L23" s="6" t="s">
        <v>326</v>
      </c>
      <c r="M23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23">
        <f>IFERROR(PRODUCT($F$4,1/Table3[[#This Row],[Tijd]]),0)</f>
        <v>0</v>
      </c>
      <c r="O23">
        <f>SUM(Table3[[#This Row],[W]],Table3[[#This Row],[A]],Table3[[#This Row],[F]])*5</f>
        <v>0</v>
      </c>
      <c r="P23" t="str">
        <f>TEXT(Table3[[#This Row],[Score]],"00,00")&amp;TEXT(Table3[[#This Row],[Fouten]],"00")&amp;TEXT(Table3[[#This Row],[Tijd]],"00,000")</f>
        <v>Disk0000,000</v>
      </c>
      <c r="Q23" t="str">
        <f>IF(IFERROR(VLOOKUP(Table3[[#This Row],[SNR]],Deelnemers[#Data],7,0),0)&lt;&gt;$C$4,"Loopt niet in deze groep!",IF(COUNTIF(Table3[SNR],Table3[[#This Row],[SNR]])&gt;1,"Dubbel",""))</f>
        <v/>
      </c>
    </row>
    <row r="24" spans="1:17" x14ac:dyDescent="0.2">
      <c r="A24">
        <f>IFERROR(VLOOKUP(Table3[[#This Row],[SNR]],Deelnemers[#Data],2,0),"")</f>
        <v>175986</v>
      </c>
      <c r="B24">
        <f>IF(VLOOKUP(Table3[[#This Row],[SNR]],Deelnemers[#Data],8,0)&gt;0,"BM",IF(Table3[[#This Row],[Score]]="Disk",0,MATCH(Table3[[#This Row],[Sorteren]],Table3[Sorteren],0)-COUNTIF($B$7:$B23,"BM")))</f>
        <v>0</v>
      </c>
      <c r="D24" t="str">
        <f>IFERROR(VLOOKUP(Table3[[#This Row],[SNR]],Deelnemers[#Data],3,0),"")</f>
        <v>Iris Folbert</v>
      </c>
      <c r="E24" t="str">
        <f>IFERROR(VLOOKUP(Table3[[#This Row],[SNR]],Deelnemers[#Data],4,0),"")</f>
        <v>Jip</v>
      </c>
      <c r="F24" t="str">
        <f>IFERROR(VLOOKUP(Table3[[#This Row],[SNR]],Deelnemers[#Data],6,0),"")</f>
        <v>Border Collie</v>
      </c>
      <c r="G24" s="6">
        <v>85</v>
      </c>
      <c r="H24" s="6"/>
      <c r="I24" s="6"/>
      <c r="J24" s="6"/>
      <c r="K24" s="6"/>
      <c r="L24" s="6" t="s">
        <v>326</v>
      </c>
      <c r="M24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24">
        <f>IFERROR(PRODUCT($F$4,1/Table3[[#This Row],[Tijd]]),0)</f>
        <v>0</v>
      </c>
      <c r="O24">
        <f>SUM(Table3[[#This Row],[W]],Table3[[#This Row],[A]],Table3[[#This Row],[F]])*5</f>
        <v>0</v>
      </c>
      <c r="P24" t="str">
        <f>TEXT(Table3[[#This Row],[Score]],"00,00")&amp;TEXT(Table3[[#This Row],[Fouten]],"00")&amp;TEXT(Table3[[#This Row],[Tijd]],"00,000")</f>
        <v>Disk0000,000</v>
      </c>
      <c r="Q24" t="str">
        <f>IF(IFERROR(VLOOKUP(Table3[[#This Row],[SNR]],Deelnemers[#Data],7,0),0)&lt;&gt;$C$4,"Loopt niet in deze groep!",IF(COUNTIF(Table3[SNR],Table3[[#This Row],[SNR]])&gt;1,"Dubbel",""))</f>
        <v/>
      </c>
    </row>
    <row r="25" spans="1:17" x14ac:dyDescent="0.2">
      <c r="A25">
        <f>IFERROR(VLOOKUP(Table3[[#This Row],[SNR]],Deelnemers[#Data],2,0),"")</f>
        <v>182451</v>
      </c>
      <c r="B25">
        <f>IF(VLOOKUP(Table3[[#This Row],[SNR]],Deelnemers[#Data],8,0)&gt;0,"BM",IF(Table3[[#This Row],[Score]]="Disk",0,MATCH(Table3[[#This Row],[Sorteren]],Table3[Sorteren],0)-COUNTIF($B$7:$B24,"BM")))</f>
        <v>0</v>
      </c>
      <c r="D25" t="str">
        <f>IFERROR(VLOOKUP(Table3[[#This Row],[SNR]],Deelnemers[#Data],3,0),"")</f>
        <v>Melissa Stoeten</v>
      </c>
      <c r="E25" t="str">
        <f>IFERROR(VLOOKUP(Table3[[#This Row],[SNR]],Deelnemers[#Data],4,0),"")</f>
        <v>Craig</v>
      </c>
      <c r="F25" t="str">
        <f>IFERROR(VLOOKUP(Table3[[#This Row],[SNR]],Deelnemers[#Data],6,0),"")</f>
        <v>Border Collie</v>
      </c>
      <c r="G25" s="6">
        <v>86</v>
      </c>
      <c r="H25" s="6"/>
      <c r="I25" s="6"/>
      <c r="J25" s="6"/>
      <c r="K25" s="6"/>
      <c r="L25" s="6" t="s">
        <v>326</v>
      </c>
      <c r="M25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25">
        <f>IFERROR(PRODUCT($F$4,1/Table3[[#This Row],[Tijd]]),0)</f>
        <v>0</v>
      </c>
      <c r="O25">
        <f>SUM(Table3[[#This Row],[W]],Table3[[#This Row],[A]],Table3[[#This Row],[F]])*5</f>
        <v>0</v>
      </c>
      <c r="P25" t="str">
        <f>TEXT(Table3[[#This Row],[Score]],"00,00")&amp;TEXT(Table3[[#This Row],[Fouten]],"00")&amp;TEXT(Table3[[#This Row],[Tijd]],"00,000")</f>
        <v>Disk0000,000</v>
      </c>
      <c r="Q25" t="str">
        <f>IF(IFERROR(VLOOKUP(Table3[[#This Row],[SNR]],Deelnemers[#Data],7,0),0)&lt;&gt;$C$4,"Loopt niet in deze groep!",IF(COUNTIF(Table3[SNR],Table3[[#This Row],[SNR]])&gt;1,"Dubbel",""))</f>
        <v/>
      </c>
    </row>
    <row r="26" spans="1:17" x14ac:dyDescent="0.2">
      <c r="A26">
        <f>IFERROR(VLOOKUP(Table3[[#This Row],[SNR]],Deelnemers[#Data],2,0),"")</f>
        <v>183903</v>
      </c>
      <c r="B26">
        <f>IF(VLOOKUP(Table3[[#This Row],[SNR]],Deelnemers[#Data],8,0)&gt;0,"BM",IF(Table3[[#This Row],[Score]]="Disk",0,MATCH(Table3[[#This Row],[Sorteren]],Table3[Sorteren],0)-COUNTIF($B$7:$B25,"BM")))</f>
        <v>0</v>
      </c>
      <c r="D26" t="str">
        <f>IFERROR(VLOOKUP(Table3[[#This Row],[SNR]],Deelnemers[#Data],3,0),"")</f>
        <v>Marieke Timmer</v>
      </c>
      <c r="E26" t="str">
        <f>IFERROR(VLOOKUP(Table3[[#This Row],[SNR]],Deelnemers[#Data],4,0),"")</f>
        <v>SPAM</v>
      </c>
      <c r="F26" t="str">
        <f>IFERROR(VLOOKUP(Table3[[#This Row],[SNR]],Deelnemers[#Data],6,0),"")</f>
        <v>Border Collie</v>
      </c>
      <c r="G26" s="6">
        <v>87</v>
      </c>
      <c r="H26" s="6"/>
      <c r="I26" s="6"/>
      <c r="J26" s="6"/>
      <c r="K26" s="6"/>
      <c r="L26" s="6" t="s">
        <v>326</v>
      </c>
      <c r="M26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26">
        <f>IFERROR(PRODUCT($F$4,1/Table3[[#This Row],[Tijd]]),0)</f>
        <v>0</v>
      </c>
      <c r="O26">
        <f>SUM(Table3[[#This Row],[W]],Table3[[#This Row],[A]],Table3[[#This Row],[F]])*5</f>
        <v>0</v>
      </c>
      <c r="P26" t="str">
        <f>TEXT(Table3[[#This Row],[Score]],"00,00")&amp;TEXT(Table3[[#This Row],[Fouten]],"00")&amp;TEXT(Table3[[#This Row],[Tijd]],"00,000")</f>
        <v>Disk0000,000</v>
      </c>
      <c r="Q26" t="str">
        <f>IF(IFERROR(VLOOKUP(Table3[[#This Row],[SNR]],Deelnemers[#Data],7,0),0)&lt;&gt;$C$4,"Loopt niet in deze groep!",IF(COUNTIF(Table3[SNR],Table3[[#This Row],[SNR]])&gt;1,"Dubbel",""))</f>
        <v/>
      </c>
    </row>
    <row r="27" spans="1:17" x14ac:dyDescent="0.2">
      <c r="A27">
        <f>IFERROR(VLOOKUP(Table3[[#This Row],[SNR]],Deelnemers[#Data],2,0),"")</f>
        <v>184780</v>
      </c>
      <c r="B27">
        <f>IF(VLOOKUP(Table3[[#This Row],[SNR]],Deelnemers[#Data],8,0)&gt;0,"BM",IF(Table3[[#This Row],[Score]]="Disk",0,MATCH(Table3[[#This Row],[Sorteren]],Table3[Sorteren],0)-COUNTIF($B$7:$B26,"BM")))</f>
        <v>0</v>
      </c>
      <c r="D27" t="str">
        <f>IFERROR(VLOOKUP(Table3[[#This Row],[SNR]],Deelnemers[#Data],3,0),"")</f>
        <v>Sinne Tolsma</v>
      </c>
      <c r="E27" t="str">
        <f>IFERROR(VLOOKUP(Table3[[#This Row],[SNR]],Deelnemers[#Data],4,0),"")</f>
        <v>Donder</v>
      </c>
      <c r="F27" t="str">
        <f>IFERROR(VLOOKUP(Table3[[#This Row],[SNR]],Deelnemers[#Data],6,0),"")</f>
        <v>Border Collie</v>
      </c>
      <c r="G27" s="6">
        <v>88</v>
      </c>
      <c r="H27" s="6"/>
      <c r="I27" s="6"/>
      <c r="J27" s="6"/>
      <c r="K27" s="6"/>
      <c r="L27" s="6" t="s">
        <v>326</v>
      </c>
      <c r="M27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27">
        <f>IFERROR(PRODUCT($F$4,1/Table3[[#This Row],[Tijd]]),0)</f>
        <v>0</v>
      </c>
      <c r="O27">
        <f>SUM(Table3[[#This Row],[W]],Table3[[#This Row],[A]],Table3[[#This Row],[F]])*5</f>
        <v>0</v>
      </c>
      <c r="P27" t="str">
        <f>TEXT(Table3[[#This Row],[Score]],"00,00")&amp;TEXT(Table3[[#This Row],[Fouten]],"00")&amp;TEXT(Table3[[#This Row],[Tijd]],"00,000")</f>
        <v>Disk0000,000</v>
      </c>
      <c r="Q27" t="str">
        <f>IF(IFERROR(VLOOKUP(Table3[[#This Row],[SNR]],Deelnemers[#Data],7,0),0)&lt;&gt;$C$4,"Loopt niet in deze groep!",IF(COUNTIF(Table3[SNR],Table3[[#This Row],[SNR]])&gt;1,"Dubbel",""))</f>
        <v/>
      </c>
    </row>
    <row r="28" spans="1:17" x14ac:dyDescent="0.2">
      <c r="A28">
        <f>IFERROR(VLOOKUP(Table3[[#This Row],[SNR]],Deelnemers[#Data],2,0),"")</f>
        <v>176036</v>
      </c>
      <c r="B28">
        <f>IF(VLOOKUP(Table3[[#This Row],[SNR]],Deelnemers[#Data],8,0)&gt;0,"BM",IF(Table3[[#This Row],[Score]]="Disk",0,MATCH(Table3[[#This Row],[Sorteren]],Table3[Sorteren],0)-COUNTIF($B$7:$B27,"BM")))</f>
        <v>0</v>
      </c>
      <c r="D28" t="str">
        <f>IFERROR(VLOOKUP(Table3[[#This Row],[SNR]],Deelnemers[#Data],3,0),"")</f>
        <v>Ariena vd Veen</v>
      </c>
      <c r="E28" t="str">
        <f>IFERROR(VLOOKUP(Table3[[#This Row],[SNR]],Deelnemers[#Data],4,0),"")</f>
        <v>Rossi</v>
      </c>
      <c r="F28" t="str">
        <f>IFERROR(VLOOKUP(Table3[[#This Row],[SNR]],Deelnemers[#Data],6,0),"")</f>
        <v>Border Collie</v>
      </c>
      <c r="G28" s="6">
        <v>89</v>
      </c>
      <c r="H28" s="6"/>
      <c r="I28" s="6"/>
      <c r="J28" s="6"/>
      <c r="K28" s="6"/>
      <c r="L28" s="6" t="s">
        <v>326</v>
      </c>
      <c r="M28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28">
        <f>IFERROR(PRODUCT($F$4,1/Table3[[#This Row],[Tijd]]),0)</f>
        <v>0</v>
      </c>
      <c r="O28">
        <f>SUM(Table3[[#This Row],[W]],Table3[[#This Row],[A]],Table3[[#This Row],[F]])*5</f>
        <v>0</v>
      </c>
      <c r="P28" t="str">
        <f>TEXT(Table3[[#This Row],[Score]],"00,00")&amp;TEXT(Table3[[#This Row],[Fouten]],"00")&amp;TEXT(Table3[[#This Row],[Tijd]],"00,000")</f>
        <v>Disk0000,000</v>
      </c>
      <c r="Q28" t="str">
        <f>IF(IFERROR(VLOOKUP(Table3[[#This Row],[SNR]],Deelnemers[#Data],7,0),0)&lt;&gt;$C$4,"Loopt niet in deze groep!",IF(COUNTIF(Table3[SNR],Table3[[#This Row],[SNR]])&gt;1,"Dubbel",""))</f>
        <v/>
      </c>
    </row>
    <row r="29" spans="1:17" x14ac:dyDescent="0.2">
      <c r="A29">
        <f>IFERROR(VLOOKUP(Table3[[#This Row],[SNR]],Deelnemers[#Data],2,0),"")</f>
        <v>183555</v>
      </c>
      <c r="B29">
        <f>IF(VLOOKUP(Table3[[#This Row],[SNR]],Deelnemers[#Data],8,0)&gt;0,"BM",IF(Table3[[#This Row],[Score]]="Disk",0,MATCH(Table3[[#This Row],[Sorteren]],Table3[Sorteren],0)-COUNTIF($B$7:$B28,"BM")))</f>
        <v>0</v>
      </c>
      <c r="D29" t="str">
        <f>IFERROR(VLOOKUP(Table3[[#This Row],[SNR]],Deelnemers[#Data],3,0),"")</f>
        <v>Ellen Overtoom</v>
      </c>
      <c r="E29" t="str">
        <f>IFERROR(VLOOKUP(Table3[[#This Row],[SNR]],Deelnemers[#Data],4,0),"")</f>
        <v>Tav</v>
      </c>
      <c r="F29" t="str">
        <f>IFERROR(VLOOKUP(Table3[[#This Row],[SNR]],Deelnemers[#Data],6,0),"")</f>
        <v>Border Collie</v>
      </c>
      <c r="G29" s="6">
        <v>91</v>
      </c>
      <c r="H29" s="6"/>
      <c r="I29" s="6"/>
      <c r="J29" s="6"/>
      <c r="K29" s="6"/>
      <c r="L29" s="6" t="s">
        <v>326</v>
      </c>
      <c r="M29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29">
        <f>IFERROR(PRODUCT($F$4,1/Table3[[#This Row],[Tijd]]),0)</f>
        <v>0</v>
      </c>
      <c r="O29">
        <f>SUM(Table3[[#This Row],[W]],Table3[[#This Row],[A]],Table3[[#This Row],[F]])*5</f>
        <v>0</v>
      </c>
      <c r="P29" t="str">
        <f>TEXT(Table3[[#This Row],[Score]],"00,00")&amp;TEXT(Table3[[#This Row],[Fouten]],"00")&amp;TEXT(Table3[[#This Row],[Tijd]],"00,000")</f>
        <v>Disk0000,000</v>
      </c>
      <c r="Q29" t="str">
        <f>IF(IFERROR(VLOOKUP(Table3[[#This Row],[SNR]],Deelnemers[#Data],7,0),0)&lt;&gt;$C$4,"Loopt niet in deze groep!",IF(COUNTIF(Table3[SNR],Table3[[#This Row],[SNR]])&gt;1,"Dubbel",""))</f>
        <v/>
      </c>
    </row>
    <row r="30" spans="1:17" x14ac:dyDescent="0.2">
      <c r="A30">
        <f>IFERROR(VLOOKUP(Table3[[#This Row],[SNR]],Deelnemers[#Data],2,0),"")</f>
        <v>184020</v>
      </c>
      <c r="B30">
        <f>IF(VLOOKUP(Table3[[#This Row],[SNR]],Deelnemers[#Data],8,0)&gt;0,"BM",IF(Table3[[#This Row],[Score]]="Disk",0,MATCH(Table3[[#This Row],[Sorteren]],Table3[Sorteren],0)-COUNTIF($B$7:$B29,"BM")))</f>
        <v>0</v>
      </c>
      <c r="D30" t="str">
        <f>IFERROR(VLOOKUP(Table3[[#This Row],[SNR]],Deelnemers[#Data],3,0),"")</f>
        <v>Yara Borger</v>
      </c>
      <c r="E30" t="str">
        <f>IFERROR(VLOOKUP(Table3[[#This Row],[SNR]],Deelnemers[#Data],4,0),"")</f>
        <v>Elsa</v>
      </c>
      <c r="F30" t="str">
        <f>IFERROR(VLOOKUP(Table3[[#This Row],[SNR]],Deelnemers[#Data],6,0),"")</f>
        <v>border collie</v>
      </c>
      <c r="G30" s="6">
        <v>92</v>
      </c>
      <c r="H30" s="6"/>
      <c r="I30" s="6"/>
      <c r="J30" s="6"/>
      <c r="K30" s="6"/>
      <c r="L30" s="6" t="s">
        <v>326</v>
      </c>
      <c r="M30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30">
        <f>IFERROR(PRODUCT($F$4,1/Table3[[#This Row],[Tijd]]),0)</f>
        <v>0</v>
      </c>
      <c r="O30">
        <f>SUM(Table3[[#This Row],[W]],Table3[[#This Row],[A]],Table3[[#This Row],[F]])*5</f>
        <v>0</v>
      </c>
      <c r="P30" t="str">
        <f>TEXT(Table3[[#This Row],[Score]],"00,00")&amp;TEXT(Table3[[#This Row],[Fouten]],"00")&amp;TEXT(Table3[[#This Row],[Tijd]],"00,000")</f>
        <v>Disk0000,000</v>
      </c>
      <c r="Q30" t="str">
        <f>IF(IFERROR(VLOOKUP(Table3[[#This Row],[SNR]],Deelnemers[#Data],7,0),0)&lt;&gt;$C$4,"Loopt niet in deze groep!",IF(COUNTIF(Table3[SNR],Table3[[#This Row],[SNR]])&gt;1,"Dubbel",""))</f>
        <v/>
      </c>
    </row>
    <row r="31" spans="1:17" x14ac:dyDescent="0.2">
      <c r="A31">
        <f>IFERROR(VLOOKUP(Table3[[#This Row],[SNR]],Deelnemers[#Data],2,0),"")</f>
        <v>184527</v>
      </c>
      <c r="B31">
        <f>IF(VLOOKUP(Table3[[#This Row],[SNR]],Deelnemers[#Data],8,0)&gt;0,"BM",IF(Table3[[#This Row],[Score]]="Disk",0,MATCH(Table3[[#This Row],[Sorteren]],Table3[Sorteren],0)-COUNTIF($B$7:$B30,"BM")))</f>
        <v>0</v>
      </c>
      <c r="D31" t="str">
        <f>IFERROR(VLOOKUP(Table3[[#This Row],[SNR]],Deelnemers[#Data],3,0),"")</f>
        <v>Truus Voshart</v>
      </c>
      <c r="E31" t="str">
        <f>IFERROR(VLOOKUP(Table3[[#This Row],[SNR]],Deelnemers[#Data],4,0),"")</f>
        <v>Lilly</v>
      </c>
      <c r="F31" t="str">
        <f>IFERROR(VLOOKUP(Table3[[#This Row],[SNR]],Deelnemers[#Data],6,0),"")</f>
        <v>Border Collie</v>
      </c>
      <c r="G31" s="6">
        <v>93</v>
      </c>
      <c r="H31" s="6"/>
      <c r="I31" s="6"/>
      <c r="J31" s="6"/>
      <c r="K31" s="6"/>
      <c r="L31" s="6" t="s">
        <v>326</v>
      </c>
      <c r="M31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31">
        <f>IFERROR(PRODUCT($F$4,1/Table3[[#This Row],[Tijd]]),0)</f>
        <v>0</v>
      </c>
      <c r="O31">
        <f>SUM(Table3[[#This Row],[W]],Table3[[#This Row],[A]],Table3[[#This Row],[F]])*5</f>
        <v>0</v>
      </c>
      <c r="P31" t="str">
        <f>TEXT(Table3[[#This Row],[Score]],"00,00")&amp;TEXT(Table3[[#This Row],[Fouten]],"00")&amp;TEXT(Table3[[#This Row],[Tijd]],"00,000")</f>
        <v>Disk0000,000</v>
      </c>
      <c r="Q31" t="str">
        <f>IF(IFERROR(VLOOKUP(Table3[[#This Row],[SNR]],Deelnemers[#Data],7,0),0)&lt;&gt;$C$4,"Loopt niet in deze groep!",IF(COUNTIF(Table3[SNR],Table3[[#This Row],[SNR]])&gt;1,"Dubbel",""))</f>
        <v/>
      </c>
    </row>
    <row r="32" spans="1:17" x14ac:dyDescent="0.2">
      <c r="A32">
        <f>IFERROR(VLOOKUP(Table3[[#This Row],[SNR]],Deelnemers[#Data],2,0),"")</f>
        <v>183660</v>
      </c>
      <c r="B32">
        <f>IF(VLOOKUP(Table3[[#This Row],[SNR]],Deelnemers[#Data],8,0)&gt;0,"BM",IF(Table3[[#This Row],[Score]]="Disk",0,MATCH(Table3[[#This Row],[Sorteren]],Table3[Sorteren],0)-COUNTIF($B$7:$B31,"BM")))</f>
        <v>0</v>
      </c>
      <c r="D32" t="str">
        <f>IFERROR(VLOOKUP(Table3[[#This Row],[SNR]],Deelnemers[#Data],3,0),"")</f>
        <v>Willy vd Zee</v>
      </c>
      <c r="E32" t="str">
        <f>IFERROR(VLOOKUP(Table3[[#This Row],[SNR]],Deelnemers[#Data],4,0),"")</f>
        <v>Feytze</v>
      </c>
      <c r="F32" t="str">
        <f>IFERROR(VLOOKUP(Table3[[#This Row],[SNR]],Deelnemers[#Data],6,0),"")</f>
        <v>Belgische Herdershond, Groenendaeler</v>
      </c>
      <c r="G32" s="6">
        <v>94</v>
      </c>
      <c r="H32" s="6"/>
      <c r="I32" s="6"/>
      <c r="J32" s="6"/>
      <c r="K32" s="6"/>
      <c r="L32" s="6" t="s">
        <v>326</v>
      </c>
      <c r="M32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32">
        <f>IFERROR(PRODUCT($F$4,1/Table3[[#This Row],[Tijd]]),0)</f>
        <v>0</v>
      </c>
      <c r="O32">
        <f>SUM(Table3[[#This Row],[W]],Table3[[#This Row],[A]],Table3[[#This Row],[F]])*5</f>
        <v>0</v>
      </c>
      <c r="P32" t="str">
        <f>TEXT(Table3[[#This Row],[Score]],"00,00")&amp;TEXT(Table3[[#This Row],[Fouten]],"00")&amp;TEXT(Table3[[#This Row],[Tijd]],"00,000")</f>
        <v>Disk0000,000</v>
      </c>
      <c r="Q32" t="str">
        <f>IF(IFERROR(VLOOKUP(Table3[[#This Row],[SNR]],Deelnemers[#Data],7,0),0)&lt;&gt;$C$4,"Loopt niet in deze groep!",IF(COUNTIF(Table3[SNR],Table3[[#This Row],[SNR]])&gt;1,"Dubbel",""))</f>
        <v/>
      </c>
    </row>
    <row r="33" spans="1:17" x14ac:dyDescent="0.2">
      <c r="A33">
        <f>IFERROR(VLOOKUP(Table3[[#This Row],[SNR]],Deelnemers[#Data],2,0),"")</f>
        <v>183032</v>
      </c>
      <c r="B33">
        <f>IF(VLOOKUP(Table3[[#This Row],[SNR]],Deelnemers[#Data],8,0)&gt;0,"BM",IF(Table3[[#This Row],[Score]]="Disk",0,MATCH(Table3[[#This Row],[Sorteren]],Table3[Sorteren],0)-COUNTIF($B$7:$B32,"BM")))</f>
        <v>0</v>
      </c>
      <c r="D33" t="str">
        <f>IFERROR(VLOOKUP(Table3[[#This Row],[SNR]],Deelnemers[#Data],3,0),"")</f>
        <v>Marjolein van Sprang</v>
      </c>
      <c r="E33" t="str">
        <f>IFERROR(VLOOKUP(Table3[[#This Row],[SNR]],Deelnemers[#Data],4,0),"")</f>
        <v>Groovy</v>
      </c>
      <c r="F33" t="str">
        <f>IFERROR(VLOOKUP(Table3[[#This Row],[SNR]],Deelnemers[#Data],6,0),"")</f>
        <v>Belgische Herdershond, Groenendaeler</v>
      </c>
      <c r="G33" s="6">
        <v>95</v>
      </c>
      <c r="H33" s="6"/>
      <c r="I33" s="6"/>
      <c r="J33" s="6"/>
      <c r="K33" s="6"/>
      <c r="L33" s="6" t="s">
        <v>326</v>
      </c>
      <c r="M33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33">
        <f>IFERROR(PRODUCT($F$4,1/Table3[[#This Row],[Tijd]]),0)</f>
        <v>0</v>
      </c>
      <c r="O33">
        <f>SUM(Table3[[#This Row],[W]],Table3[[#This Row],[A]],Table3[[#This Row],[F]])*5</f>
        <v>0</v>
      </c>
      <c r="P33" t="str">
        <f>TEXT(Table3[[#This Row],[Score]],"00,00")&amp;TEXT(Table3[[#This Row],[Fouten]],"00")&amp;TEXT(Table3[[#This Row],[Tijd]],"00,000")</f>
        <v>Disk0000,000</v>
      </c>
      <c r="Q33" t="str">
        <f>IF(IFERROR(VLOOKUP(Table3[[#This Row],[SNR]],Deelnemers[#Data],7,0),0)&lt;&gt;$C$4,"Loopt niet in deze groep!",IF(COUNTIF(Table3[SNR],Table3[[#This Row],[SNR]])&gt;1,"Dubbel",""))</f>
        <v/>
      </c>
    </row>
    <row r="34" spans="1:17" x14ac:dyDescent="0.2">
      <c r="A34">
        <f>IFERROR(VLOOKUP(Table3[[#This Row],[SNR]],Deelnemers[#Data],2,0),"")</f>
        <v>183199</v>
      </c>
      <c r="B34">
        <f>IF(VLOOKUP(Table3[[#This Row],[SNR]],Deelnemers[#Data],8,0)&gt;0,"BM",IF(Table3[[#This Row],[Score]]="Disk",0,MATCH(Table3[[#This Row],[Sorteren]],Table3[Sorteren],0)-COUNTIF($B$7:$B33,"BM")))</f>
        <v>0</v>
      </c>
      <c r="D34" t="str">
        <f>IFERROR(VLOOKUP(Table3[[#This Row],[SNR]],Deelnemers[#Data],3,0),"")</f>
        <v>Sia Beuving</v>
      </c>
      <c r="E34" t="str">
        <f>IFERROR(VLOOKUP(Table3[[#This Row],[SNR]],Deelnemers[#Data],4,0),"")</f>
        <v>Ally</v>
      </c>
      <c r="F34" t="str">
        <f>IFERROR(VLOOKUP(Table3[[#This Row],[SNR]],Deelnemers[#Data],6,0),"")</f>
        <v>Hovawart</v>
      </c>
      <c r="G34" s="6">
        <v>97</v>
      </c>
      <c r="H34" s="6"/>
      <c r="I34" s="6"/>
      <c r="J34" s="6"/>
      <c r="K34" s="6"/>
      <c r="L34" s="6" t="s">
        <v>326</v>
      </c>
      <c r="M34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34">
        <f>IFERROR(PRODUCT($F$4,1/Table3[[#This Row],[Tijd]]),0)</f>
        <v>0</v>
      </c>
      <c r="O34">
        <f>SUM(Table3[[#This Row],[W]],Table3[[#This Row],[A]],Table3[[#This Row],[F]])*5</f>
        <v>0</v>
      </c>
      <c r="P34" t="str">
        <f>TEXT(Table3[[#This Row],[Score]],"00,00")&amp;TEXT(Table3[[#This Row],[Fouten]],"00")&amp;TEXT(Table3[[#This Row],[Tijd]],"00,000")</f>
        <v>Disk0000,000</v>
      </c>
      <c r="Q34" t="str">
        <f>IF(IFERROR(VLOOKUP(Table3[[#This Row],[SNR]],Deelnemers[#Data],7,0),0)&lt;&gt;$C$4,"Loopt niet in deze groep!",IF(COUNTIF(Table3[SNR],Table3[[#This Row],[SNR]])&gt;1,"Dubbel",""))</f>
        <v/>
      </c>
    </row>
    <row r="35" spans="1:17" x14ac:dyDescent="0.2">
      <c r="A35">
        <f>IFERROR(VLOOKUP(Table3[[#This Row],[SNR]],Deelnemers[#Data],2,0),"")</f>
        <v>180599</v>
      </c>
      <c r="B35">
        <f>IF(VLOOKUP(Table3[[#This Row],[SNR]],Deelnemers[#Data],8,0)&gt;0,"BM",IF(Table3[[#This Row],[Score]]="Disk",0,MATCH(Table3[[#This Row],[Sorteren]],Table3[Sorteren],0)-COUNTIF($B$7:$B34,"BM")))</f>
        <v>0</v>
      </c>
      <c r="D35" t="str">
        <f>IFERROR(VLOOKUP(Table3[[#This Row],[SNR]],Deelnemers[#Data],3,0),"")</f>
        <v>Lilo Smit</v>
      </c>
      <c r="E35" t="str">
        <f>IFERROR(VLOOKUP(Table3[[#This Row],[SNR]],Deelnemers[#Data],4,0),"")</f>
        <v>Magic</v>
      </c>
      <c r="F35" t="str">
        <f>IFERROR(VLOOKUP(Table3[[#This Row],[SNR]],Deelnemers[#Data],6,0),"")</f>
        <v>australian shepherd</v>
      </c>
      <c r="G35" s="6">
        <v>98</v>
      </c>
      <c r="H35" s="6"/>
      <c r="I35" s="6"/>
      <c r="J35" s="6"/>
      <c r="K35" s="6"/>
      <c r="L35" s="6" t="s">
        <v>326</v>
      </c>
      <c r="M35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35">
        <f>IFERROR(PRODUCT($F$4,1/Table3[[#This Row],[Tijd]]),0)</f>
        <v>0</v>
      </c>
      <c r="O35">
        <f>SUM(Table3[[#This Row],[W]],Table3[[#This Row],[A]],Table3[[#This Row],[F]])*5</f>
        <v>0</v>
      </c>
      <c r="P35" t="str">
        <f>TEXT(Table3[[#This Row],[Score]],"00,00")&amp;TEXT(Table3[[#This Row],[Fouten]],"00")&amp;TEXT(Table3[[#This Row],[Tijd]],"00,000")</f>
        <v>Disk0000,000</v>
      </c>
      <c r="Q35" t="str">
        <f>IF(IFERROR(VLOOKUP(Table3[[#This Row],[SNR]],Deelnemers[#Data],7,0),0)&lt;&gt;$C$4,"Loopt niet in deze groep!",IF(COUNTIF(Table3[SNR],Table3[[#This Row],[SNR]])&gt;1,"Dubbel",""))</f>
        <v/>
      </c>
    </row>
    <row r="36" spans="1:17" x14ac:dyDescent="0.2">
      <c r="A36">
        <f>IFERROR(VLOOKUP(Table3[[#This Row],[SNR]],Deelnemers[#Data],2,0),"")</f>
        <v>180734</v>
      </c>
      <c r="B36">
        <f>IF(VLOOKUP(Table3[[#This Row],[SNR]],Deelnemers[#Data],8,0)&gt;0,"BM",IF(Table3[[#This Row],[Score]]="Disk",0,MATCH(Table3[[#This Row],[Sorteren]],Table3[Sorteren],0)-COUNTIF($B$7:$B35,"BM")))</f>
        <v>0</v>
      </c>
      <c r="D36" t="str">
        <f>IFERROR(VLOOKUP(Table3[[#This Row],[SNR]],Deelnemers[#Data],3,0),"")</f>
        <v>Saskia Brockmeyer</v>
      </c>
      <c r="E36" t="str">
        <f>IFERROR(VLOOKUP(Table3[[#This Row],[SNR]],Deelnemers[#Data],4,0),"")</f>
        <v>Kim</v>
      </c>
      <c r="F36" t="str">
        <f>IFERROR(VLOOKUP(Table3[[#This Row],[SNR]],Deelnemers[#Data],6,0),"")</f>
        <v>Australian Kelpie</v>
      </c>
      <c r="G36" s="6">
        <v>101</v>
      </c>
      <c r="H36" s="6"/>
      <c r="I36" s="6"/>
      <c r="J36" s="6"/>
      <c r="K36" s="6"/>
      <c r="L36" s="6" t="s">
        <v>326</v>
      </c>
      <c r="M36" t="str">
        <f>IF(OR(ISNUMBER(SEARCH("Jumping", $C$5)),ISNUMBER(SEARCH("Vast Parcours", $C$5)), ISNUMBER(SEARCH("NKT", $C$5))),IF(OR(Table3[[#This Row],[Disk]]&gt;0,Table3[[#This Row],[W]]&gt;=3,Table3[[#This Row],[Tijd]]&gt;$F$3),"Disk",IF(ISBLANK(Table3[[#This Row],[Tijd]]),"",Table3[[#This Row],[Fouten]]+MAX(0,Table3[[#This Row],[Tijd]]-$F$2))),"-")</f>
        <v>Disk</v>
      </c>
      <c r="N36">
        <f>IFERROR(PRODUCT($F$4,1/Table3[[#This Row],[Tijd]]),0)</f>
        <v>0</v>
      </c>
      <c r="O36">
        <f>SUM(Table3[[#This Row],[W]],Table3[[#This Row],[A]],Table3[[#This Row],[F]])*5</f>
        <v>0</v>
      </c>
      <c r="P36" t="str">
        <f>TEXT(Table3[[#This Row],[Score]],"00,00")&amp;TEXT(Table3[[#This Row],[Fouten]],"00")&amp;TEXT(Table3[[#This Row],[Tijd]],"00,000")</f>
        <v>Disk0000,000</v>
      </c>
      <c r="Q36" t="str">
        <f>IF(IFERROR(VLOOKUP(Table3[[#This Row],[SNR]],Deelnemers[#Data],7,0),0)&lt;&gt;$C$4,"Loopt niet in deze groep!",IF(COUNTIF(Table3[SNR],Table3[[#This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:F4">
    <cfRule type="containsBlanks" dxfId="204" priority="1">
      <formula>LEN(TRIM(F1))=0</formula>
    </cfRule>
  </conditionalFormatting>
  <dataValidations count="2">
    <dataValidation type="list" allowBlank="1" showInputMessage="1" showErrorMessage="1" sqref="C4" xr:uid="{00000000-0002-0000-0300-000000000000}">
      <formula1>GroepLijst</formula1>
    </dataValidation>
    <dataValidation type="list" allowBlank="1" showInputMessage="1" showErrorMessage="1" sqref="F1" xr:uid="{00000000-0002-0000-0300-000001000000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6"/>
  <sheetViews>
    <sheetView topLeftCell="A4" zoomScale="139" workbookViewId="0">
      <selection activeCell="F2" sqref="F2:F4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3">
        <v>54</v>
      </c>
      <c r="G2" t="s">
        <v>308</v>
      </c>
      <c r="H2" s="12" t="str">
        <f>$C$4</f>
        <v>1ᵉ graad Large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3">
        <v>84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0</v>
      </c>
      <c r="D4" s="13"/>
      <c r="E4" t="s">
        <v>310</v>
      </c>
      <c r="F4" s="3">
        <v>168</v>
      </c>
      <c r="G4" t="s">
        <v>311</v>
      </c>
      <c r="H4" s="12" t="str">
        <f>$C$5</f>
        <v>Vast Parcours 2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IFERROR(VLOOKUP(Table4[[#This Row],[SNR]],Deelnemers[#Data],2,0),"")</f>
        <v>172596</v>
      </c>
      <c r="B8">
        <f>IF(VLOOKUP(Table4[[#This Row],[SNR]],Deelnemers[#Data],8,0)&gt;0,"BM",IF(Table4[[#This Row],[Score]]="Disk",0,MATCH(Table4[[#This Row],[Sorteren]],Table4[Sorteren],0)-COUNTIF($B$7:$B7,"BM")))</f>
        <v>1</v>
      </c>
      <c r="D8" t="str">
        <f>IFERROR(VLOOKUP(Table4[[#This Row],[SNR]],Deelnemers[#Data],3,0),"")</f>
        <v>Alida Wekema-Torensma</v>
      </c>
      <c r="E8" t="str">
        <f>IFERROR(VLOOKUP(Table4[[#This Row],[SNR]],Deelnemers[#Data],4,0),"")</f>
        <v>Mailo</v>
      </c>
      <c r="F8" t="str">
        <f>IFERROR(VLOOKUP(Table4[[#This Row],[SNR]],Deelnemers[#Data],6,0),"")</f>
        <v>Nova Scotia Duck Tolling Retriever</v>
      </c>
      <c r="G8" s="8">
        <v>77</v>
      </c>
      <c r="H8" s="8">
        <v>36.46</v>
      </c>
      <c r="I8" s="8"/>
      <c r="J8" s="8"/>
      <c r="K8" s="8"/>
      <c r="L8" s="8"/>
      <c r="M8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0</v>
      </c>
      <c r="N8">
        <f>IFERROR(PRODUCT($F$4,1/Table4[[#This Row],[Tijd]]),0)</f>
        <v>4.6077893582007681</v>
      </c>
      <c r="O8">
        <f>SUM(Table4[[#This Row],[W]],Table4[[#This Row],[A]],Table4[[#This Row],[F]])*5</f>
        <v>0</v>
      </c>
      <c r="P8" t="str">
        <f>TEXT(Table4[[#This Row],[Score]],"00,00")&amp;TEXT(Table4[[#This Row],[Fouten]],"00")&amp;TEXT(Table4[[#This Row],[Tijd]],"00,000")</f>
        <v>00,000036,460</v>
      </c>
      <c r="Q8" t="str">
        <f>IF(IFERROR(VLOOKUP(Table4[[#This Row],[SNR]],Deelnemers[#Data],7,0),0)&lt;&gt;$C$4,"Loopt niet in deze groep!",IF(COUNTIF(Table4[SNR],Table4[[#This Row],[SNR]])&gt;1,"Dubbel",""))</f>
        <v/>
      </c>
    </row>
    <row r="9" spans="1:17" x14ac:dyDescent="0.2">
      <c r="A9">
        <f>IFERROR(VLOOKUP(Table4[[#This Row],[SNR]],Deelnemers[#Data],2,0),"")</f>
        <v>184527</v>
      </c>
      <c r="B9">
        <f>IF(VLOOKUP(Table4[[#This Row],[SNR]],Deelnemers[#Data],8,0)&gt;0,"BM",IF(Table4[[#This Row],[Score]]="Disk",0,MATCH(Table4[[#This Row],[Sorteren]],Table4[Sorteren],0)-COUNTIF($B$7:$B8,"BM")))</f>
        <v>2</v>
      </c>
      <c r="D9" t="str">
        <f>IFERROR(VLOOKUP(Table4[[#This Row],[SNR]],Deelnemers[#Data],3,0),"")</f>
        <v>Truus Voshart</v>
      </c>
      <c r="E9" t="str">
        <f>IFERROR(VLOOKUP(Table4[[#This Row],[SNR]],Deelnemers[#Data],4,0),"")</f>
        <v>Lilly</v>
      </c>
      <c r="F9" t="str">
        <f>IFERROR(VLOOKUP(Table4[[#This Row],[SNR]],Deelnemers[#Data],6,0),"")</f>
        <v>Border Collie</v>
      </c>
      <c r="G9" s="8">
        <v>93</v>
      </c>
      <c r="H9" s="8">
        <v>43.88</v>
      </c>
      <c r="I9" s="8"/>
      <c r="J9" s="8"/>
      <c r="K9" s="8"/>
      <c r="L9" s="8"/>
      <c r="M9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0</v>
      </c>
      <c r="N9">
        <f>IFERROR(PRODUCT($F$4,1/Table4[[#This Row],[Tijd]]),0)</f>
        <v>3.828623518687329</v>
      </c>
      <c r="O9">
        <f>SUM(Table4[[#This Row],[W]],Table4[[#This Row],[A]],Table4[[#This Row],[F]])*5</f>
        <v>0</v>
      </c>
      <c r="P9" t="str">
        <f>TEXT(Table4[[#This Row],[Score]],"00,00")&amp;TEXT(Table4[[#This Row],[Fouten]],"00")&amp;TEXT(Table4[[#This Row],[Tijd]],"00,000")</f>
        <v>00,000043,880</v>
      </c>
      <c r="Q9" t="str">
        <f>IF(IFERROR(VLOOKUP(Table4[[#This Row],[SNR]],Deelnemers[#Data],7,0),0)&lt;&gt;$C$4,"Loopt niet in deze groep!",IF(COUNTIF(Table4[SNR],Table4[[#This Row],[SNR]])&gt;1,"Dubbel",""))</f>
        <v/>
      </c>
    </row>
    <row r="10" spans="1:17" x14ac:dyDescent="0.2">
      <c r="A10">
        <f>IFERROR(VLOOKUP(Table4[[#This Row],[SNR]],Deelnemers[#Data],2,0),"")</f>
        <v>181552</v>
      </c>
      <c r="B10">
        <f>IF(VLOOKUP(Table4[[#This Row],[SNR]],Deelnemers[#Data],8,0)&gt;0,"BM",IF(Table4[[#This Row],[Score]]="Disk",0,MATCH(Table4[[#This Row],[Sorteren]],Table4[Sorteren],0)-COUNTIF($B$7:$B9,"BM")))</f>
        <v>3</v>
      </c>
      <c r="D10" t="str">
        <f>IFERROR(VLOOKUP(Table4[[#This Row],[SNR]],Deelnemers[#Data],3,0),"")</f>
        <v>Thea van Niekerk</v>
      </c>
      <c r="E10" t="str">
        <f>IFERROR(VLOOKUP(Table4[[#This Row],[SNR]],Deelnemers[#Data],4,0),"")</f>
        <v>Ellis</v>
      </c>
      <c r="F10" t="str">
        <f>IFERROR(VLOOKUP(Table4[[#This Row],[SNR]],Deelnemers[#Data],6,0),"")</f>
        <v>Belgische Herdershond, Groenendaeler</v>
      </c>
      <c r="G10" s="8">
        <v>96</v>
      </c>
      <c r="H10" s="8">
        <v>50.12</v>
      </c>
      <c r="I10" s="8"/>
      <c r="J10" s="8"/>
      <c r="K10" s="8"/>
      <c r="L10" s="8"/>
      <c r="M10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0</v>
      </c>
      <c r="N10">
        <f>IFERROR(PRODUCT($F$4,1/Table4[[#This Row],[Tijd]]),0)</f>
        <v>3.3519553072625698</v>
      </c>
      <c r="O10">
        <f>SUM(Table4[[#This Row],[W]],Table4[[#This Row],[A]],Table4[[#This Row],[F]])*5</f>
        <v>0</v>
      </c>
      <c r="P10" t="str">
        <f>TEXT(Table4[[#This Row],[Score]],"00,00")&amp;TEXT(Table4[[#This Row],[Fouten]],"00")&amp;TEXT(Table4[[#This Row],[Tijd]],"00,000")</f>
        <v>00,000050,120</v>
      </c>
      <c r="Q10" t="str">
        <f>IF(IFERROR(VLOOKUP(Table4[[#This Row],[SNR]],Deelnemers[#Data],7,0),0)&lt;&gt;$C$4,"Loopt niet in deze groep!",IF(COUNTIF(Table4[SNR],Table4[[#This Row],[SNR]])&gt;1,"Dubbel",""))</f>
        <v/>
      </c>
    </row>
    <row r="11" spans="1:17" x14ac:dyDescent="0.2">
      <c r="A11">
        <f>IFERROR(VLOOKUP(Table4[[#This Row],[SNR]],Deelnemers[#Data],2,0),"")</f>
        <v>183555</v>
      </c>
      <c r="B11">
        <f>IF(VLOOKUP(Table4[[#This Row],[SNR]],Deelnemers[#Data],8,0)&gt;0,"BM",IF(Table4[[#This Row],[Score]]="Disk",0,MATCH(Table4[[#This Row],[Sorteren]],Table4[Sorteren],0)-COUNTIF($B$7:$B10,"BM")))</f>
        <v>4</v>
      </c>
      <c r="D11" t="str">
        <f>IFERROR(VLOOKUP(Table4[[#This Row],[SNR]],Deelnemers[#Data],3,0),"")</f>
        <v>Ellen Overtoom</v>
      </c>
      <c r="E11" t="str">
        <f>IFERROR(VLOOKUP(Table4[[#This Row],[SNR]],Deelnemers[#Data],4,0),"")</f>
        <v>Tav</v>
      </c>
      <c r="F11" t="str">
        <f>IFERROR(VLOOKUP(Table4[[#This Row],[SNR]],Deelnemers[#Data],6,0),"")</f>
        <v>Border Collie</v>
      </c>
      <c r="G11" s="8">
        <v>91</v>
      </c>
      <c r="H11" s="8">
        <v>35.4</v>
      </c>
      <c r="I11" s="8"/>
      <c r="J11" s="8"/>
      <c r="K11" s="8">
        <v>1</v>
      </c>
      <c r="L11" s="8"/>
      <c r="M11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5</v>
      </c>
      <c r="N11">
        <f>IFERROR(PRODUCT($F$4,1/Table4[[#This Row],[Tijd]]),0)</f>
        <v>4.7457627118644066</v>
      </c>
      <c r="O11">
        <f>SUM(Table4[[#This Row],[W]],Table4[[#This Row],[A]],Table4[[#This Row],[F]])*5</f>
        <v>5</v>
      </c>
      <c r="P11" t="str">
        <f>TEXT(Table4[[#This Row],[Score]],"00,00")&amp;TEXT(Table4[[#This Row],[Fouten]],"00")&amp;TEXT(Table4[[#This Row],[Tijd]],"00,000")</f>
        <v>05,000535,400</v>
      </c>
      <c r="Q11" t="str">
        <f>IF(IFERROR(VLOOKUP(Table4[[#This Row],[SNR]],Deelnemers[#Data],7,0),0)&lt;&gt;$C$4,"Loopt niet in deze groep!",IF(COUNTIF(Table4[SNR],Table4[[#This Row],[SNR]])&gt;1,"Dubbel",""))</f>
        <v/>
      </c>
    </row>
    <row r="12" spans="1:17" x14ac:dyDescent="0.2">
      <c r="A12">
        <f>IFERROR(VLOOKUP(Table4[[#This Row],[SNR]],Deelnemers[#Data],2,0),"")</f>
        <v>160482</v>
      </c>
      <c r="B12">
        <f>IF(VLOOKUP(Table4[[#This Row],[SNR]],Deelnemers[#Data],8,0)&gt;0,"BM",IF(Table4[[#This Row],[Score]]="Disk",0,MATCH(Table4[[#This Row],[Sorteren]],Table4[Sorteren],0)-COUNTIF($B$7:$B11,"BM")))</f>
        <v>5</v>
      </c>
      <c r="D12" t="str">
        <f>IFERROR(VLOOKUP(Table4[[#This Row],[SNR]],Deelnemers[#Data],3,0),"")</f>
        <v>Danique Lagerwaard</v>
      </c>
      <c r="E12" t="str">
        <f>IFERROR(VLOOKUP(Table4[[#This Row],[SNR]],Deelnemers[#Data],4,0),"")</f>
        <v>LB LESS</v>
      </c>
      <c r="F12" t="str">
        <f>IFERROR(VLOOKUP(Table4[[#This Row],[SNR]],Deelnemers[#Data],6,0),"")</f>
        <v>Border Collie</v>
      </c>
      <c r="G12" s="9">
        <v>82</v>
      </c>
      <c r="H12" s="9">
        <v>35.94</v>
      </c>
      <c r="I12" s="9"/>
      <c r="J12" s="9"/>
      <c r="K12" s="9">
        <v>1</v>
      </c>
      <c r="L12" s="9"/>
      <c r="M12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5</v>
      </c>
      <c r="N12">
        <f>IFERROR(PRODUCT($F$4,1/Table4[[#This Row],[Tijd]]),0)</f>
        <v>4.674457429048414</v>
      </c>
      <c r="O12">
        <f>SUM(Table4[[#This Row],[W]],Table4[[#This Row],[A]],Table4[[#This Row],[F]])*5</f>
        <v>5</v>
      </c>
      <c r="P12" t="str">
        <f>TEXT(Table4[[#This Row],[Score]],"00,00")&amp;TEXT(Table4[[#This Row],[Fouten]],"00")&amp;TEXT(Table4[[#This Row],[Tijd]],"00,000")</f>
        <v>05,000535,940</v>
      </c>
      <c r="Q12" t="str">
        <f>IF(IFERROR(VLOOKUP(Table4[[#This Row],[SNR]],Deelnemers[#Data],7,0),0)&lt;&gt;$C$4,"Loopt niet in deze groep!",IF(COUNTIF(Table4[SNR],Table4[[#This Row],[SNR]])&gt;1,"Dubbel",""))</f>
        <v/>
      </c>
    </row>
    <row r="13" spans="1:17" x14ac:dyDescent="0.2">
      <c r="A13">
        <f>IFERROR(VLOOKUP(Table4[[#This Row],[SNR]],Deelnemers[#Data],2,0),"")</f>
        <v>184616</v>
      </c>
      <c r="B13">
        <f>IF(VLOOKUP(Table4[[#This Row],[SNR]],Deelnemers[#Data],8,0)&gt;0,"BM",IF(Table4[[#This Row],[Score]]="Disk",0,MATCH(Table4[[#This Row],[Sorteren]],Table4[Sorteren],0)-COUNTIF($B$7:$B12,"BM")))</f>
        <v>6</v>
      </c>
      <c r="D13" t="str">
        <f>IFERROR(VLOOKUP(Table4[[#This Row],[SNR]],Deelnemers[#Data],3,0),"")</f>
        <v>Carla van der Kolk-la Crois</v>
      </c>
      <c r="E13" t="str">
        <f>IFERROR(VLOOKUP(Table4[[#This Row],[SNR]],Deelnemers[#Data],4,0),"")</f>
        <v>Abby</v>
      </c>
      <c r="F13" t="str">
        <f>IFERROR(VLOOKUP(Table4[[#This Row],[SNR]],Deelnemers[#Data],6,0),"")</f>
        <v>Australian Shepherd</v>
      </c>
      <c r="G13" s="9">
        <v>100</v>
      </c>
      <c r="H13" s="9">
        <v>37.24</v>
      </c>
      <c r="I13" s="9"/>
      <c r="J13" s="9"/>
      <c r="K13" s="9">
        <v>1</v>
      </c>
      <c r="L13" s="9"/>
      <c r="M13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5</v>
      </c>
      <c r="N13">
        <f>IFERROR(PRODUCT($F$4,1/Table4[[#This Row],[Tijd]]),0)</f>
        <v>4.511278195488722</v>
      </c>
      <c r="O13">
        <f>SUM(Table4[[#This Row],[W]],Table4[[#This Row],[A]],Table4[[#This Row],[F]])*5</f>
        <v>5</v>
      </c>
      <c r="P13" t="str">
        <f>TEXT(Table4[[#This Row],[Score]],"00,00")&amp;TEXT(Table4[[#This Row],[Fouten]],"00")&amp;TEXT(Table4[[#This Row],[Tijd]],"00,000")</f>
        <v>05,000537,240</v>
      </c>
      <c r="Q13" t="str">
        <f>IF(IFERROR(VLOOKUP(Table4[[#This Row],[SNR]],Deelnemers[#Data],7,0),0)&lt;&gt;$C$4,"Loopt niet in deze groep!",IF(COUNTIF(Table4[SNR],Table4[[#This Row],[SNR]])&gt;1,"Dubbel",""))</f>
        <v/>
      </c>
    </row>
    <row r="14" spans="1:17" x14ac:dyDescent="0.2">
      <c r="A14">
        <f>IFERROR(VLOOKUP(Table4[[#This Row],[SNR]],Deelnemers[#Data],2,0),"")</f>
        <v>174742</v>
      </c>
      <c r="B14">
        <f>IF(VLOOKUP(Table4[[#This Row],[SNR]],Deelnemers[#Data],8,0)&gt;0,"BM",IF(Table4[[#This Row],[Score]]="Disk",0,MATCH(Table4[[#This Row],[Sorteren]],Table4[Sorteren],0)-COUNTIF($B$7:$B13,"BM")))</f>
        <v>7</v>
      </c>
      <c r="D14" t="str">
        <f>IFERROR(VLOOKUP(Table4[[#This Row],[SNR]],Deelnemers[#Data],3,0),"")</f>
        <v>Lenie Henrion Verpoorten</v>
      </c>
      <c r="E14" t="str">
        <f>IFERROR(VLOOKUP(Table4[[#This Row],[SNR]],Deelnemers[#Data],4,0),"")</f>
        <v>Brann</v>
      </c>
      <c r="F14" t="str">
        <f>IFERROR(VLOOKUP(Table4[[#This Row],[SNR]],Deelnemers[#Data],6,0),"")</f>
        <v>Australian Shepherd</v>
      </c>
      <c r="G14">
        <v>71</v>
      </c>
      <c r="H14">
        <v>56.68</v>
      </c>
      <c r="I14">
        <v>1</v>
      </c>
      <c r="M14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7.68</v>
      </c>
      <c r="N14">
        <f>IFERROR(PRODUCT($F$4,1/Table4[[#This Row],[Tijd]]),0)</f>
        <v>2.9640084685956247</v>
      </c>
      <c r="O14">
        <f>SUM(Table4[[#This Row],[W]],Table4[[#This Row],[A]],Table4[[#This Row],[F]])*5</f>
        <v>5</v>
      </c>
      <c r="P14" t="str">
        <f>TEXT(Table4[[#This Row],[Score]],"00,00")&amp;TEXT(Table4[[#This Row],[Fouten]],"00")&amp;TEXT(Table4[[#This Row],[Tijd]],"00,000")</f>
        <v>07,680556,680</v>
      </c>
      <c r="Q14" t="str">
        <f>IF(IFERROR(VLOOKUP(Table4[[#This Row],[SNR]],Deelnemers[#Data],7,0),0)&lt;&gt;$C$4,"Loopt niet in deze groep!",IF(COUNTIF(Table4[SNR],Table4[[#This Row],[SNR]])&gt;1,"Dubbel",""))</f>
        <v/>
      </c>
    </row>
    <row r="15" spans="1:17" x14ac:dyDescent="0.2">
      <c r="A15">
        <f>IFERROR(VLOOKUP(Table4[[#This Row],[SNR]],Deelnemers[#Data],2,0),"")</f>
        <v>176036</v>
      </c>
      <c r="B15">
        <f>IF(VLOOKUP(Table4[[#This Row],[SNR]],Deelnemers[#Data],8,0)&gt;0,"BM",IF(Table4[[#This Row],[Score]]="Disk",0,MATCH(Table4[[#This Row],[Sorteren]],Table4[Sorteren],0)-COUNTIF($B$7:$B14,"BM")))</f>
        <v>8</v>
      </c>
      <c r="D15" t="str">
        <f>IFERROR(VLOOKUP(Table4[[#This Row],[SNR]],Deelnemers[#Data],3,0),"")</f>
        <v>Ariena vd Veen</v>
      </c>
      <c r="E15" t="str">
        <f>IFERROR(VLOOKUP(Table4[[#This Row],[SNR]],Deelnemers[#Data],4,0),"")</f>
        <v>Rossi</v>
      </c>
      <c r="F15" t="str">
        <f>IFERROR(VLOOKUP(Table4[[#This Row],[SNR]],Deelnemers[#Data],6,0),"")</f>
        <v>Border Collie</v>
      </c>
      <c r="G15" s="8">
        <v>89</v>
      </c>
      <c r="H15" s="8">
        <v>34.04</v>
      </c>
      <c r="I15" s="8"/>
      <c r="J15" s="8"/>
      <c r="K15" s="8">
        <v>2</v>
      </c>
      <c r="L15" s="8"/>
      <c r="M15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10</v>
      </c>
      <c r="N15">
        <f>IFERROR(PRODUCT($F$4,1/Table4[[#This Row],[Tijd]]),0)</f>
        <v>4.9353701527614575</v>
      </c>
      <c r="O15">
        <f>SUM(Table4[[#This Row],[W]],Table4[[#This Row],[A]],Table4[[#This Row],[F]])*5</f>
        <v>10</v>
      </c>
      <c r="P15" t="str">
        <f>TEXT(Table4[[#This Row],[Score]],"00,00")&amp;TEXT(Table4[[#This Row],[Fouten]],"00")&amp;TEXT(Table4[[#This Row],[Tijd]],"00,000")</f>
        <v>10,001034,040</v>
      </c>
      <c r="Q15" t="str">
        <f>IF(IFERROR(VLOOKUP(Table4[[#This Row],[SNR]],Deelnemers[#Data],7,0),0)&lt;&gt;$C$4,"Loopt niet in deze groep!",IF(COUNTIF(Table4[SNR],Table4[[#This Row],[SNR]])&gt;1,"Dubbel",""))</f>
        <v/>
      </c>
    </row>
    <row r="16" spans="1:17" x14ac:dyDescent="0.2">
      <c r="A16">
        <f>IFERROR(VLOOKUP(Table4[[#This Row],[SNR]],Deelnemers[#Data],2,0),"")</f>
        <v>183660</v>
      </c>
      <c r="B16">
        <f>IF(VLOOKUP(Table4[[#This Row],[SNR]],Deelnemers[#Data],8,0)&gt;0,"BM",IF(Table4[[#This Row],[Score]]="Disk",0,MATCH(Table4[[#This Row],[Sorteren]],Table4[Sorteren],0)-COUNTIF($B$7:$B15,"BM")))</f>
        <v>9</v>
      </c>
      <c r="D16" t="str">
        <f>IFERROR(VLOOKUP(Table4[[#This Row],[SNR]],Deelnemers[#Data],3,0),"")</f>
        <v>Willy vd Zee</v>
      </c>
      <c r="E16" t="str">
        <f>IFERROR(VLOOKUP(Table4[[#This Row],[SNR]],Deelnemers[#Data],4,0),"")</f>
        <v>Feytze</v>
      </c>
      <c r="F16" t="str">
        <f>IFERROR(VLOOKUP(Table4[[#This Row],[SNR]],Deelnemers[#Data],6,0),"")</f>
        <v>Belgische Herdershond, Groenendaeler</v>
      </c>
      <c r="G16" s="8">
        <v>94</v>
      </c>
      <c r="H16" s="8">
        <v>38.200000000000003</v>
      </c>
      <c r="I16" s="8"/>
      <c r="J16" s="8"/>
      <c r="K16" s="8">
        <v>2</v>
      </c>
      <c r="L16" s="8"/>
      <c r="M16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10</v>
      </c>
      <c r="N16">
        <f>IFERROR(PRODUCT($F$4,1/Table4[[#This Row],[Tijd]]),0)</f>
        <v>4.3979057591623034</v>
      </c>
      <c r="O16">
        <f>SUM(Table4[[#This Row],[W]],Table4[[#This Row],[A]],Table4[[#This Row],[F]])*5</f>
        <v>10</v>
      </c>
      <c r="P16" t="str">
        <f>TEXT(Table4[[#This Row],[Score]],"00,00")&amp;TEXT(Table4[[#This Row],[Fouten]],"00")&amp;TEXT(Table4[[#This Row],[Tijd]],"00,000")</f>
        <v>10,001038,200</v>
      </c>
      <c r="Q16" t="str">
        <f>IF(IFERROR(VLOOKUP(Table4[[#This Row],[SNR]],Deelnemers[#Data],7,0),0)&lt;&gt;$C$4,"Loopt niet in deze groep!",IF(COUNTIF(Table4[SNR],Table4[[#This Row],[SNR]])&gt;1,"Dubbel",""))</f>
        <v/>
      </c>
    </row>
    <row r="17" spans="1:17" x14ac:dyDescent="0.2">
      <c r="A17">
        <f>IFERROR(VLOOKUP(Table4[[#This Row],[SNR]],Deelnemers[#Data],2,0),"")</f>
        <v>176621</v>
      </c>
      <c r="B17">
        <f>IF(VLOOKUP(Table4[[#This Row],[SNR]],Deelnemers[#Data],8,0)&gt;0,"BM",IF(Table4[[#This Row],[Score]]="Disk",0,MATCH(Table4[[#This Row],[Sorteren]],Table4[Sorteren],0)-COUNTIF($B$7:$B16,"BM")))</f>
        <v>10</v>
      </c>
      <c r="D17" t="str">
        <f>IFERROR(VLOOKUP(Table4[[#This Row],[SNR]],Deelnemers[#Data],3,0),"")</f>
        <v>Anne van den Eerenbeemt</v>
      </c>
      <c r="E17" t="str">
        <f>IFERROR(VLOOKUP(Table4[[#This Row],[SNR]],Deelnemers[#Data],4,0),"")</f>
        <v>Harley Davidson</v>
      </c>
      <c r="F17" t="str">
        <f>IFERROR(VLOOKUP(Table4[[#This Row],[SNR]],Deelnemers[#Data],6,0),"")</f>
        <v>amerikaanse stafford</v>
      </c>
      <c r="G17" s="8">
        <v>102</v>
      </c>
      <c r="H17" s="8">
        <v>49.56</v>
      </c>
      <c r="I17" s="8">
        <v>2</v>
      </c>
      <c r="J17" s="8"/>
      <c r="K17" s="8"/>
      <c r="L17" s="8"/>
      <c r="M17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10</v>
      </c>
      <c r="N17">
        <f>IFERROR(PRODUCT($F$4,1/Table4[[#This Row],[Tijd]]),0)</f>
        <v>3.3898305084745761</v>
      </c>
      <c r="O17">
        <f>SUM(Table4[[#This Row],[W]],Table4[[#This Row],[A]],Table4[[#This Row],[F]])*5</f>
        <v>10</v>
      </c>
      <c r="P17" t="str">
        <f>TEXT(Table4[[#This Row],[Score]],"00,00")&amp;TEXT(Table4[[#This Row],[Fouten]],"00")&amp;TEXT(Table4[[#This Row],[Tijd]],"00,000")</f>
        <v>10,001049,560</v>
      </c>
      <c r="Q17" t="str">
        <f>IF(IFERROR(VLOOKUP(Table4[[#This Row],[SNR]],Deelnemers[#Data],7,0),0)&lt;&gt;$C$4,"Loopt niet in deze groep!",IF(COUNTIF(Table4[SNR],Table4[[#This Row],[SNR]])&gt;1,"Dubbel",""))</f>
        <v/>
      </c>
    </row>
    <row r="18" spans="1:17" x14ac:dyDescent="0.2">
      <c r="A18">
        <f>IFERROR(VLOOKUP(Table4[[#This Row],[SNR]],Deelnemers[#Data],2,0),"")</f>
        <v>180076</v>
      </c>
      <c r="B18">
        <f>IF(VLOOKUP(Table4[[#This Row],[SNR]],Deelnemers[#Data],8,0)&gt;0,"BM",IF(Table4[[#This Row],[Score]]="Disk",0,MATCH(Table4[[#This Row],[Sorteren]],Table4[Sorteren],0)-COUNTIF($B$7:$B17,"BM")))</f>
        <v>11</v>
      </c>
      <c r="D18" t="str">
        <f>IFERROR(VLOOKUP(Table4[[#This Row],[SNR]],Deelnemers[#Data],3,0),"")</f>
        <v>Agnes Verhoef</v>
      </c>
      <c r="E18" t="str">
        <f>IFERROR(VLOOKUP(Table4[[#This Row],[SNR]],Deelnemers[#Data],4,0),"")</f>
        <v>Rose</v>
      </c>
      <c r="F18" t="str">
        <f>IFERROR(VLOOKUP(Table4[[#This Row],[SNR]],Deelnemers[#Data],6,0),"")</f>
        <v>Golden Retriever</v>
      </c>
      <c r="G18" s="8">
        <v>81</v>
      </c>
      <c r="H18" s="8">
        <v>54.54</v>
      </c>
      <c r="I18" s="8">
        <v>1</v>
      </c>
      <c r="J18" s="8"/>
      <c r="K18" s="8">
        <v>1</v>
      </c>
      <c r="L18" s="8"/>
      <c r="M18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10.54</v>
      </c>
      <c r="N18">
        <f>IFERROR(PRODUCT($F$4,1/Table4[[#This Row],[Tijd]]),0)</f>
        <v>3.0803080308030806</v>
      </c>
      <c r="O18">
        <f>SUM(Table4[[#This Row],[W]],Table4[[#This Row],[A]],Table4[[#This Row],[F]])*5</f>
        <v>10</v>
      </c>
      <c r="P18" t="str">
        <f>TEXT(Table4[[#This Row],[Score]],"00,00")&amp;TEXT(Table4[[#This Row],[Fouten]],"00")&amp;TEXT(Table4[[#This Row],[Tijd]],"00,000")</f>
        <v>10,541054,540</v>
      </c>
      <c r="Q18" t="str">
        <f>IF(IFERROR(VLOOKUP(Table4[[#This Row],[SNR]],Deelnemers[#Data],7,0),0)&lt;&gt;$C$4,"Loopt niet in deze groep!",IF(COUNTIF(Table4[SNR],Table4[[#This Row],[SNR]])&gt;1,"Dubbel",""))</f>
        <v/>
      </c>
    </row>
    <row r="19" spans="1:17" x14ac:dyDescent="0.2">
      <c r="A19">
        <f>IFERROR(VLOOKUP(Table4[[#This Row],[SNR]],Deelnemers[#Data],2,0),"")</f>
        <v>182451</v>
      </c>
      <c r="B19">
        <f>IF(VLOOKUP(Table4[[#This Row],[SNR]],Deelnemers[#Data],8,0)&gt;0,"BM",IF(Table4[[#This Row],[Score]]="Disk",0,MATCH(Table4[[#This Row],[Sorteren]],Table4[Sorteren],0)-COUNTIF($B$7:$B18,"BM")))</f>
        <v>12</v>
      </c>
      <c r="D19" t="str">
        <f>IFERROR(VLOOKUP(Table4[[#This Row],[SNR]],Deelnemers[#Data],3,0),"")</f>
        <v>Melissa Stoeten</v>
      </c>
      <c r="E19" t="str">
        <f>IFERROR(VLOOKUP(Table4[[#This Row],[SNR]],Deelnemers[#Data],4,0),"")</f>
        <v>Craig</v>
      </c>
      <c r="F19" t="str">
        <f>IFERROR(VLOOKUP(Table4[[#This Row],[SNR]],Deelnemers[#Data],6,0),"")</f>
        <v>Border Collie</v>
      </c>
      <c r="G19" s="8">
        <v>86</v>
      </c>
      <c r="H19" s="8">
        <v>35.26</v>
      </c>
      <c r="I19" s="8"/>
      <c r="J19" s="8"/>
      <c r="K19" s="8">
        <v>3</v>
      </c>
      <c r="L19" s="8"/>
      <c r="M19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15</v>
      </c>
      <c r="N19">
        <f>IFERROR(PRODUCT($F$4,1/Table4[[#This Row],[Tijd]]),0)</f>
        <v>4.7646057855927397</v>
      </c>
      <c r="O19">
        <f>SUM(Table4[[#This Row],[W]],Table4[[#This Row],[A]],Table4[[#This Row],[F]])*5</f>
        <v>15</v>
      </c>
      <c r="P19" t="str">
        <f>TEXT(Table4[[#This Row],[Score]],"00,00")&amp;TEXT(Table4[[#This Row],[Fouten]],"00")&amp;TEXT(Table4[[#This Row],[Tijd]],"00,000")</f>
        <v>15,001535,260</v>
      </c>
      <c r="Q19" t="str">
        <f>IF(IFERROR(VLOOKUP(Table4[[#This Row],[SNR]],Deelnemers[#Data],7,0),0)&lt;&gt;$C$4,"Loopt niet in deze groep!",IF(COUNTIF(Table4[SNR],Table4[[#This Row],[SNR]])&gt;1,"Dubbel",""))</f>
        <v/>
      </c>
    </row>
    <row r="20" spans="1:17" x14ac:dyDescent="0.2">
      <c r="A20">
        <f>IFERROR(VLOOKUP(Table4[[#This Row],[SNR]],Deelnemers[#Data],2,0),"")</f>
        <v>180599</v>
      </c>
      <c r="B20">
        <f>IF(VLOOKUP(Table4[[#This Row],[SNR]],Deelnemers[#Data],8,0)&gt;0,"BM",IF(Table4[[#This Row],[Score]]="Disk",0,MATCH(Table4[[#This Row],[Sorteren]],Table4[Sorteren],0)-COUNTIF($B$7:$B19,"BM")))</f>
        <v>13</v>
      </c>
      <c r="D20" t="str">
        <f>IFERROR(VLOOKUP(Table4[[#This Row],[SNR]],Deelnemers[#Data],3,0),"")</f>
        <v>Lilo Smit</v>
      </c>
      <c r="E20" t="str">
        <f>IFERROR(VLOOKUP(Table4[[#This Row],[SNR]],Deelnemers[#Data],4,0),"")</f>
        <v>Magic</v>
      </c>
      <c r="F20" t="str">
        <f>IFERROR(VLOOKUP(Table4[[#This Row],[SNR]],Deelnemers[#Data],6,0),"")</f>
        <v>australian shepherd</v>
      </c>
      <c r="G20" s="8">
        <v>98</v>
      </c>
      <c r="H20" s="8">
        <v>61.96</v>
      </c>
      <c r="I20" s="8">
        <v>1</v>
      </c>
      <c r="J20" s="8"/>
      <c r="K20" s="8">
        <v>3</v>
      </c>
      <c r="L20" s="8"/>
      <c r="M20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27.96</v>
      </c>
      <c r="N20">
        <f>IFERROR(PRODUCT($F$4,1/Table4[[#This Row],[Tijd]]),0)</f>
        <v>2.7114267269205943</v>
      </c>
      <c r="O20">
        <f>SUM(Table4[[#This Row],[W]],Table4[[#This Row],[A]],Table4[[#This Row],[F]])*5</f>
        <v>20</v>
      </c>
      <c r="P20" t="str">
        <f>TEXT(Table4[[#This Row],[Score]],"00,00")&amp;TEXT(Table4[[#This Row],[Fouten]],"00")&amp;TEXT(Table4[[#This Row],[Tijd]],"00,000")</f>
        <v>27,962061,960</v>
      </c>
      <c r="Q20" t="str">
        <f>IF(IFERROR(VLOOKUP(Table4[[#This Row],[SNR]],Deelnemers[#Data],7,0),0)&lt;&gt;$C$4,"Loopt niet in deze groep!",IF(COUNTIF(Table4[SNR],Table4[[#This Row],[SNR]])&gt;1,"Dubbel",""))</f>
        <v/>
      </c>
    </row>
    <row r="21" spans="1:17" x14ac:dyDescent="0.2">
      <c r="A21">
        <f>IFERROR(VLOOKUP(Table4[[#This Row],[SNR]],Deelnemers[#Data],2,0),"")</f>
        <v>430646</v>
      </c>
      <c r="B21">
        <f>IF(VLOOKUP(Table4[[#This Row],[SNR]],Deelnemers[#Data],8,0)&gt;0,"BM",IF(Table4[[#This Row],[Score]]="Disk",0,MATCH(Table4[[#This Row],[Sorteren]],Table4[Sorteren],0)-COUNTIF($B$7:$B20,"BM")))</f>
        <v>0</v>
      </c>
      <c r="D21" t="str">
        <f>IFERROR(VLOOKUP(Table4[[#This Row],[SNR]],Deelnemers[#Data],3,0),"")</f>
        <v>Sia Beuving</v>
      </c>
      <c r="E21" t="str">
        <f>IFERROR(VLOOKUP(Table4[[#This Row],[SNR]],Deelnemers[#Data],4,0),"")</f>
        <v>Chito</v>
      </c>
      <c r="F21" t="str">
        <f>IFERROR(VLOOKUP(Table4[[#This Row],[SNR]],Deelnemers[#Data],6,0),"")</f>
        <v>Hovawart</v>
      </c>
      <c r="G21" s="8">
        <v>79</v>
      </c>
      <c r="H21" s="8"/>
      <c r="I21" s="8"/>
      <c r="J21" s="8"/>
      <c r="K21" s="8"/>
      <c r="L21" s="8" t="s">
        <v>326</v>
      </c>
      <c r="M21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21">
        <f>IFERROR(PRODUCT($F$4,1/Table4[[#This Row],[Tijd]]),0)</f>
        <v>0</v>
      </c>
      <c r="O21">
        <f>SUM(Table4[[#This Row],[W]],Table4[[#This Row],[A]],Table4[[#This Row],[F]])*5</f>
        <v>0</v>
      </c>
      <c r="P21" t="str">
        <f>TEXT(Table4[[#This Row],[Score]],"00,00")&amp;TEXT(Table4[[#This Row],[Fouten]],"00")&amp;TEXT(Table4[[#This Row],[Tijd]],"00,000")</f>
        <v>Disk0000,000</v>
      </c>
      <c r="Q21" t="str">
        <f>IF(IFERROR(VLOOKUP(Table4[[#This Row],[SNR]],Deelnemers[#Data],7,0),0)&lt;&gt;$C$4,"Loopt niet in deze groep!",IF(COUNTIF(Table4[SNR],Table4[[#This Row],[SNR]])&gt;1,"Dubbel",""))</f>
        <v/>
      </c>
    </row>
    <row r="22" spans="1:17" x14ac:dyDescent="0.2">
      <c r="A22">
        <f>IFERROR(VLOOKUP(Table4[[#This Row],[SNR]],Deelnemers[#Data],2,0),"")</f>
        <v>151378</v>
      </c>
      <c r="B22">
        <f>IF(VLOOKUP(Table4[[#This Row],[SNR]],Deelnemers[#Data],8,0)&gt;0,"BM",IF(Table4[[#This Row],[Score]]="Disk",0,MATCH(Table4[[#This Row],[Sorteren]],Table4[Sorteren],0)-COUNTIF($B$7:$B21,"BM")))</f>
        <v>0</v>
      </c>
      <c r="D22" t="str">
        <f>IFERROR(VLOOKUP(Table4[[#This Row],[SNR]],Deelnemers[#Data],3,0),"")</f>
        <v>Danielle van den Dobbelsteen</v>
      </c>
      <c r="E22" t="str">
        <f>IFERROR(VLOOKUP(Table4[[#This Row],[SNR]],Deelnemers[#Data],4,0),"")</f>
        <v>Django</v>
      </c>
      <c r="F22" t="str">
        <f>IFERROR(VLOOKUP(Table4[[#This Row],[SNR]],Deelnemers[#Data],6,0),"")</f>
        <v>Zwitserse Witte Herder</v>
      </c>
      <c r="G22" s="8">
        <v>73</v>
      </c>
      <c r="H22" s="8"/>
      <c r="I22" s="8"/>
      <c r="J22" s="8"/>
      <c r="K22" s="8"/>
      <c r="L22" s="8" t="s">
        <v>326</v>
      </c>
      <c r="M22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22">
        <f>IFERROR(PRODUCT($F$4,1/Table4[[#This Row],[Tijd]]),0)</f>
        <v>0</v>
      </c>
      <c r="O22">
        <f>SUM(Table4[[#This Row],[W]],Table4[[#This Row],[A]],Table4[[#This Row],[F]])*5</f>
        <v>0</v>
      </c>
      <c r="P22" t="str">
        <f>TEXT(Table4[[#This Row],[Score]],"00,00")&amp;TEXT(Table4[[#This Row],[Fouten]],"00")&amp;TEXT(Table4[[#This Row],[Tijd]],"00,000")</f>
        <v>Disk0000,000</v>
      </c>
      <c r="Q22" t="str">
        <f>IF(IFERROR(VLOOKUP(Table4[[#This Row],[SNR]],Deelnemers[#Data],7,0),0)&lt;&gt;$C$4,"Loopt niet in deze groep!",IF(COUNTIF(Table4[SNR],Table4[[#This Row],[SNR]])&gt;1,"Dubbel",""))</f>
        <v/>
      </c>
    </row>
    <row r="23" spans="1:17" x14ac:dyDescent="0.2">
      <c r="A23">
        <f>IFERROR(VLOOKUP(Table4[[#This Row],[SNR]],Deelnemers[#Data],2,0),"")</f>
        <v>174998</v>
      </c>
      <c r="B23">
        <f>IF(VLOOKUP(Table4[[#This Row],[SNR]],Deelnemers[#Data],8,0)&gt;0,"BM",IF(Table4[[#This Row],[Score]]="Disk",0,MATCH(Table4[[#This Row],[Sorteren]],Table4[Sorteren],0)-COUNTIF($B$7:$B22,"BM")))</f>
        <v>0</v>
      </c>
      <c r="D23" t="str">
        <f>IFERROR(VLOOKUP(Table4[[#This Row],[SNR]],Deelnemers[#Data],3,0),"")</f>
        <v>Sharon Erenstein</v>
      </c>
      <c r="E23" t="str">
        <f>IFERROR(VLOOKUP(Table4[[#This Row],[SNR]],Deelnemers[#Data],4,0),"")</f>
        <v>Taboo</v>
      </c>
      <c r="F23" t="str">
        <f>IFERROR(VLOOKUP(Table4[[#This Row],[SNR]],Deelnemers[#Data],6,0),"")</f>
        <v>Rottweiler</v>
      </c>
      <c r="G23" s="8">
        <v>74</v>
      </c>
      <c r="H23" s="8"/>
      <c r="I23" s="8"/>
      <c r="J23" s="8"/>
      <c r="K23" s="8"/>
      <c r="L23" s="8" t="s">
        <v>326</v>
      </c>
      <c r="M23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23">
        <f>IFERROR(PRODUCT($F$4,1/Table4[[#This Row],[Tijd]]),0)</f>
        <v>0</v>
      </c>
      <c r="O23">
        <f>SUM(Table4[[#This Row],[W]],Table4[[#This Row],[A]],Table4[[#This Row],[F]])*5</f>
        <v>0</v>
      </c>
      <c r="P23" t="str">
        <f>TEXT(Table4[[#This Row],[Score]],"00,00")&amp;TEXT(Table4[[#This Row],[Fouten]],"00")&amp;TEXT(Table4[[#This Row],[Tijd]],"00,000")</f>
        <v>Disk0000,000</v>
      </c>
      <c r="Q23" t="str">
        <f>IF(IFERROR(VLOOKUP(Table4[[#This Row],[SNR]],Deelnemers[#Data],7,0),0)&lt;&gt;$C$4,"Loopt niet in deze groep!",IF(COUNTIF(Table4[SNR],Table4[[#This Row],[SNR]])&gt;1,"Dubbel",""))</f>
        <v/>
      </c>
    </row>
    <row r="24" spans="1:17" x14ac:dyDescent="0.2">
      <c r="A24">
        <f>IFERROR(VLOOKUP(Table4[[#This Row],[SNR]],Deelnemers[#Data],2,0),"")</f>
        <v>183911</v>
      </c>
      <c r="B24">
        <f>IF(VLOOKUP(Table4[[#This Row],[SNR]],Deelnemers[#Data],8,0)&gt;0,"BM",IF(Table4[[#This Row],[Score]]="Disk",0,MATCH(Table4[[#This Row],[Sorteren]],Table4[Sorteren],0)-COUNTIF($B$7:$B23,"BM")))</f>
        <v>0</v>
      </c>
      <c r="D24" t="str">
        <f>IFERROR(VLOOKUP(Table4[[#This Row],[SNR]],Deelnemers[#Data],3,0),"")</f>
        <v>Jolanda Eiling</v>
      </c>
      <c r="E24" t="str">
        <f>IFERROR(VLOOKUP(Table4[[#This Row],[SNR]],Deelnemers[#Data],4,0),"")</f>
        <v>Danica</v>
      </c>
      <c r="F24" t="str">
        <f>IFERROR(VLOOKUP(Table4[[#This Row],[SNR]],Deelnemers[#Data],6,0),"")</f>
        <v>Poedel, Standaard (Zwart)</v>
      </c>
      <c r="G24" s="8">
        <v>76</v>
      </c>
      <c r="H24" s="8"/>
      <c r="I24" s="8"/>
      <c r="J24" s="8"/>
      <c r="K24" s="8"/>
      <c r="L24" s="8" t="s">
        <v>326</v>
      </c>
      <c r="M24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24">
        <f>IFERROR(PRODUCT($F$4,1/Table4[[#This Row],[Tijd]]),0)</f>
        <v>0</v>
      </c>
      <c r="O24">
        <f>SUM(Table4[[#This Row],[W]],Table4[[#This Row],[A]],Table4[[#This Row],[F]])*5</f>
        <v>0</v>
      </c>
      <c r="P24" t="str">
        <f>TEXT(Table4[[#This Row],[Score]],"00,00")&amp;TEXT(Table4[[#This Row],[Fouten]],"00")&amp;TEXT(Table4[[#This Row],[Tijd]],"00,000")</f>
        <v>Disk0000,000</v>
      </c>
      <c r="Q24" t="str">
        <f>IF(IFERROR(VLOOKUP(Table4[[#This Row],[SNR]],Deelnemers[#Data],7,0),0)&lt;&gt;$C$4,"Loopt niet in deze groep!",IF(COUNTIF(Table4[SNR],Table4[[#This Row],[SNR]])&gt;1,"Dubbel",""))</f>
        <v/>
      </c>
    </row>
    <row r="25" spans="1:17" x14ac:dyDescent="0.2">
      <c r="A25">
        <f>IFERROR(VLOOKUP(Table4[[#This Row],[SNR]],Deelnemers[#Data],2,0),"")</f>
        <v>171387</v>
      </c>
      <c r="B25">
        <f>IF(VLOOKUP(Table4[[#This Row],[SNR]],Deelnemers[#Data],8,0)&gt;0,"BM",IF(Table4[[#This Row],[Score]]="Disk",0,MATCH(Table4[[#This Row],[Sorteren]],Table4[Sorteren],0)-COUNTIF($B$7:$B24,"BM")))</f>
        <v>0</v>
      </c>
      <c r="D25" t="str">
        <f>IFERROR(VLOOKUP(Table4[[#This Row],[SNR]],Deelnemers[#Data],3,0),"")</f>
        <v>Marjolijn Harders</v>
      </c>
      <c r="E25" t="str">
        <f>IFERROR(VLOOKUP(Table4[[#This Row],[SNR]],Deelnemers[#Data],4,0),"")</f>
        <v>Raya</v>
      </c>
      <c r="F25" t="str">
        <f>IFERROR(VLOOKUP(Table4[[#This Row],[SNR]],Deelnemers[#Data],6,0),"")</f>
        <v>kruising</v>
      </c>
      <c r="G25" s="8">
        <v>78</v>
      </c>
      <c r="H25" s="8"/>
      <c r="I25" s="8"/>
      <c r="J25" s="8"/>
      <c r="K25" s="8"/>
      <c r="L25" s="8" t="s">
        <v>326</v>
      </c>
      <c r="M25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25">
        <f>IFERROR(PRODUCT($F$4,1/Table4[[#This Row],[Tijd]]),0)</f>
        <v>0</v>
      </c>
      <c r="O25">
        <f>SUM(Table4[[#This Row],[W]],Table4[[#This Row],[A]],Table4[[#This Row],[F]])*5</f>
        <v>0</v>
      </c>
      <c r="P25" t="str">
        <f>TEXT(Table4[[#This Row],[Score]],"00,00")&amp;TEXT(Table4[[#This Row],[Fouten]],"00")&amp;TEXT(Table4[[#This Row],[Tijd]],"00,000")</f>
        <v>Disk0000,000</v>
      </c>
      <c r="Q25" t="str">
        <f>IF(IFERROR(VLOOKUP(Table4[[#This Row],[SNR]],Deelnemers[#Data],7,0),0)&lt;&gt;$C$4,"Loopt niet in deze groep!",IF(COUNTIF(Table4[SNR],Table4[[#This Row],[SNR]])&gt;1,"Dubbel",""))</f>
        <v/>
      </c>
    </row>
    <row r="26" spans="1:17" x14ac:dyDescent="0.2">
      <c r="A26">
        <f>IFERROR(VLOOKUP(Table4[[#This Row],[SNR]],Deelnemers[#Data],2,0),"")</f>
        <v>172766</v>
      </c>
      <c r="B26">
        <f>IF(VLOOKUP(Table4[[#This Row],[SNR]],Deelnemers[#Data],8,0)&gt;0,"BM",IF(Table4[[#This Row],[Score]]="Disk",0,MATCH(Table4[[#This Row],[Sorteren]],Table4[Sorteren],0)-COUNTIF($B$7:$B25,"BM")))</f>
        <v>0</v>
      </c>
      <c r="D26" t="str">
        <f>IFERROR(VLOOKUP(Table4[[#This Row],[SNR]],Deelnemers[#Data],3,0),"")</f>
        <v>Kim Verkade</v>
      </c>
      <c r="E26" t="str">
        <f>IFERROR(VLOOKUP(Table4[[#This Row],[SNR]],Deelnemers[#Data],4,0),"")</f>
        <v>Zeno</v>
      </c>
      <c r="F26" t="str">
        <f>IFERROR(VLOOKUP(Table4[[#This Row],[SNR]],Deelnemers[#Data],6,0),"")</f>
        <v>Border Collie</v>
      </c>
      <c r="G26" s="9">
        <v>83</v>
      </c>
      <c r="H26" s="9"/>
      <c r="I26" s="9"/>
      <c r="J26" s="9"/>
      <c r="K26" s="9"/>
      <c r="L26" s="9" t="s">
        <v>326</v>
      </c>
      <c r="M26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26">
        <f>IFERROR(PRODUCT($F$4,1/Table4[[#This Row],[Tijd]]),0)</f>
        <v>0</v>
      </c>
      <c r="O26">
        <f>SUM(Table4[[#This Row],[W]],Table4[[#This Row],[A]],Table4[[#This Row],[F]])*5</f>
        <v>0</v>
      </c>
      <c r="P26" t="str">
        <f>TEXT(Table4[[#This Row],[Score]],"00,00")&amp;TEXT(Table4[[#This Row],[Fouten]],"00")&amp;TEXT(Table4[[#This Row],[Tijd]],"00,000")</f>
        <v>Disk0000,000</v>
      </c>
      <c r="Q26" t="str">
        <f>IF(IFERROR(VLOOKUP(Table4[[#This Row],[SNR]],Deelnemers[#Data],7,0),0)&lt;&gt;$C$4,"Loopt niet in deze groep!",IF(COUNTIF(Table4[SNR],Table4[[#This Row],[SNR]])&gt;1,"Dubbel",""))</f>
        <v/>
      </c>
    </row>
    <row r="27" spans="1:17" x14ac:dyDescent="0.2">
      <c r="A27">
        <f>IFERROR(VLOOKUP(Table4[[#This Row],[SNR]],Deelnemers[#Data],2,0),"")</f>
        <v>173657</v>
      </c>
      <c r="B27">
        <f>IF(VLOOKUP(Table4[[#This Row],[SNR]],Deelnemers[#Data],8,0)&gt;0,"BM",IF(Table4[[#This Row],[Score]]="Disk",0,MATCH(Table4[[#This Row],[Sorteren]],Table4[Sorteren],0)-COUNTIF($B$7:$B26,"BM")))</f>
        <v>0</v>
      </c>
      <c r="D27" t="str">
        <f>IFERROR(VLOOKUP(Table4[[#This Row],[SNR]],Deelnemers[#Data],3,0),"")</f>
        <v>Hennie Roemahlewang</v>
      </c>
      <c r="E27" t="str">
        <f>IFERROR(VLOOKUP(Table4[[#This Row],[SNR]],Deelnemers[#Data],4,0),"")</f>
        <v>Rush</v>
      </c>
      <c r="F27" t="str">
        <f>IFERROR(VLOOKUP(Table4[[#This Row],[SNR]],Deelnemers[#Data],6,0),"")</f>
        <v>Border Collie</v>
      </c>
      <c r="G27" s="9">
        <v>84</v>
      </c>
      <c r="H27" s="9"/>
      <c r="I27" s="9"/>
      <c r="J27" s="9"/>
      <c r="K27" s="9"/>
      <c r="L27" s="9" t="s">
        <v>326</v>
      </c>
      <c r="M27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27">
        <f>IFERROR(PRODUCT($F$4,1/Table4[[#This Row],[Tijd]]),0)</f>
        <v>0</v>
      </c>
      <c r="O27">
        <f>SUM(Table4[[#This Row],[W]],Table4[[#This Row],[A]],Table4[[#This Row],[F]])*5</f>
        <v>0</v>
      </c>
      <c r="P27" t="str">
        <f>TEXT(Table4[[#This Row],[Score]],"00,00")&amp;TEXT(Table4[[#This Row],[Fouten]],"00")&amp;TEXT(Table4[[#This Row],[Tijd]],"00,000")</f>
        <v>Disk0000,000</v>
      </c>
      <c r="Q27" t="str">
        <f>IF(IFERROR(VLOOKUP(Table4[[#This Row],[SNR]],Deelnemers[#Data],7,0),0)&lt;&gt;$C$4,"Loopt niet in deze groep!",IF(COUNTIF(Table4[SNR],Table4[[#This Row],[SNR]])&gt;1,"Dubbel",""))</f>
        <v/>
      </c>
    </row>
    <row r="28" spans="1:17" x14ac:dyDescent="0.2">
      <c r="A28">
        <f>IFERROR(VLOOKUP(Table4[[#This Row],[SNR]],Deelnemers[#Data],2,0),"")</f>
        <v>175986</v>
      </c>
      <c r="B28">
        <f>IF(VLOOKUP(Table4[[#This Row],[SNR]],Deelnemers[#Data],8,0)&gt;0,"BM",IF(Table4[[#This Row],[Score]]="Disk",0,MATCH(Table4[[#This Row],[Sorteren]],Table4[Sorteren],0)-COUNTIF($B$7:$B27,"BM")))</f>
        <v>0</v>
      </c>
      <c r="D28" t="str">
        <f>IFERROR(VLOOKUP(Table4[[#This Row],[SNR]],Deelnemers[#Data],3,0),"")</f>
        <v>Iris Folbert</v>
      </c>
      <c r="E28" t="str">
        <f>IFERROR(VLOOKUP(Table4[[#This Row],[SNR]],Deelnemers[#Data],4,0),"")</f>
        <v>Jip</v>
      </c>
      <c r="F28" t="str">
        <f>IFERROR(VLOOKUP(Table4[[#This Row],[SNR]],Deelnemers[#Data],6,0),"")</f>
        <v>Border Collie</v>
      </c>
      <c r="G28" s="9">
        <v>85</v>
      </c>
      <c r="H28" s="9"/>
      <c r="I28" s="9"/>
      <c r="J28" s="9"/>
      <c r="K28" s="9"/>
      <c r="L28" s="9" t="s">
        <v>326</v>
      </c>
      <c r="M28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28">
        <f>IFERROR(PRODUCT($F$4,1/Table4[[#This Row],[Tijd]]),0)</f>
        <v>0</v>
      </c>
      <c r="O28">
        <f>SUM(Table4[[#This Row],[W]],Table4[[#This Row],[A]],Table4[[#This Row],[F]])*5</f>
        <v>0</v>
      </c>
      <c r="P28" t="str">
        <f>TEXT(Table4[[#This Row],[Score]],"00,00")&amp;TEXT(Table4[[#This Row],[Fouten]],"00")&amp;TEXT(Table4[[#This Row],[Tijd]],"00,000")</f>
        <v>Disk0000,000</v>
      </c>
      <c r="Q28" t="str">
        <f>IF(IFERROR(VLOOKUP(Table4[[#This Row],[SNR]],Deelnemers[#Data],7,0),0)&lt;&gt;$C$4,"Loopt niet in deze groep!",IF(COUNTIF(Table4[SNR],Table4[[#This Row],[SNR]])&gt;1,"Dubbel",""))</f>
        <v/>
      </c>
    </row>
    <row r="29" spans="1:17" x14ac:dyDescent="0.2">
      <c r="A29">
        <f>IFERROR(VLOOKUP(Table4[[#This Row],[SNR]],Deelnemers[#Data],2,0),"")</f>
        <v>183903</v>
      </c>
      <c r="B29">
        <f>IF(VLOOKUP(Table4[[#This Row],[SNR]],Deelnemers[#Data],8,0)&gt;0,"BM",IF(Table4[[#This Row],[Score]]="Disk",0,MATCH(Table4[[#This Row],[Sorteren]],Table4[Sorteren],0)-COUNTIF($B$7:$B28,"BM")))</f>
        <v>0</v>
      </c>
      <c r="D29" t="str">
        <f>IFERROR(VLOOKUP(Table4[[#This Row],[SNR]],Deelnemers[#Data],3,0),"")</f>
        <v>Marieke Timmer</v>
      </c>
      <c r="E29" t="str">
        <f>IFERROR(VLOOKUP(Table4[[#This Row],[SNR]],Deelnemers[#Data],4,0),"")</f>
        <v>SPAM</v>
      </c>
      <c r="F29" t="str">
        <f>IFERROR(VLOOKUP(Table4[[#This Row],[SNR]],Deelnemers[#Data],6,0),"")</f>
        <v>Border Collie</v>
      </c>
      <c r="G29" s="9">
        <v>87</v>
      </c>
      <c r="H29" s="9"/>
      <c r="I29" s="9"/>
      <c r="J29" s="9"/>
      <c r="K29" s="9"/>
      <c r="L29" s="9" t="s">
        <v>326</v>
      </c>
      <c r="M29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29">
        <f>IFERROR(PRODUCT($F$4,1/Table4[[#This Row],[Tijd]]),0)</f>
        <v>0</v>
      </c>
      <c r="O29">
        <f>SUM(Table4[[#This Row],[W]],Table4[[#This Row],[A]],Table4[[#This Row],[F]])*5</f>
        <v>0</v>
      </c>
      <c r="P29" t="str">
        <f>TEXT(Table4[[#This Row],[Score]],"00,00")&amp;TEXT(Table4[[#This Row],[Fouten]],"00")&amp;TEXT(Table4[[#This Row],[Tijd]],"00,000")</f>
        <v>Disk0000,000</v>
      </c>
      <c r="Q29" t="str">
        <f>IF(IFERROR(VLOOKUP(Table4[[#This Row],[SNR]],Deelnemers[#Data],7,0),0)&lt;&gt;$C$4,"Loopt niet in deze groep!",IF(COUNTIF(Table4[SNR],Table4[[#This Row],[SNR]])&gt;1,"Dubbel",""))</f>
        <v/>
      </c>
    </row>
    <row r="30" spans="1:17" x14ac:dyDescent="0.2">
      <c r="A30">
        <f>IFERROR(VLOOKUP(Table4[[#This Row],[SNR]],Deelnemers[#Data],2,0),"")</f>
        <v>184780</v>
      </c>
      <c r="B30">
        <f>IF(VLOOKUP(Table4[[#This Row],[SNR]],Deelnemers[#Data],8,0)&gt;0,"BM",IF(Table4[[#This Row],[Score]]="Disk",0,MATCH(Table4[[#This Row],[Sorteren]],Table4[Sorteren],0)-COUNTIF($B$7:$B29,"BM")))</f>
        <v>0</v>
      </c>
      <c r="D30" t="str">
        <f>IFERROR(VLOOKUP(Table4[[#This Row],[SNR]],Deelnemers[#Data],3,0),"")</f>
        <v>Sinne Tolsma</v>
      </c>
      <c r="E30" t="str">
        <f>IFERROR(VLOOKUP(Table4[[#This Row],[SNR]],Deelnemers[#Data],4,0),"")</f>
        <v>Donder</v>
      </c>
      <c r="F30" t="str">
        <f>IFERROR(VLOOKUP(Table4[[#This Row],[SNR]],Deelnemers[#Data],6,0),"")</f>
        <v>Border Collie</v>
      </c>
      <c r="G30" s="9">
        <v>88</v>
      </c>
      <c r="H30" s="9"/>
      <c r="I30" s="9"/>
      <c r="J30" s="9"/>
      <c r="K30" s="9"/>
      <c r="L30" s="9" t="s">
        <v>326</v>
      </c>
      <c r="M30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30">
        <f>IFERROR(PRODUCT($F$4,1/Table4[[#This Row],[Tijd]]),0)</f>
        <v>0</v>
      </c>
      <c r="O30">
        <f>SUM(Table4[[#This Row],[W]],Table4[[#This Row],[A]],Table4[[#This Row],[F]])*5</f>
        <v>0</v>
      </c>
      <c r="P30" t="str">
        <f>TEXT(Table4[[#This Row],[Score]],"00,00")&amp;TEXT(Table4[[#This Row],[Fouten]],"00")&amp;TEXT(Table4[[#This Row],[Tijd]],"00,000")</f>
        <v>Disk0000,000</v>
      </c>
      <c r="Q30" t="str">
        <f>IF(IFERROR(VLOOKUP(Table4[[#This Row],[SNR]],Deelnemers[#Data],7,0),0)&lt;&gt;$C$4,"Loopt niet in deze groep!",IF(COUNTIF(Table4[SNR],Table4[[#This Row],[SNR]])&gt;1,"Dubbel",""))</f>
        <v/>
      </c>
    </row>
    <row r="31" spans="1:17" x14ac:dyDescent="0.2">
      <c r="A31">
        <f>IFERROR(VLOOKUP(Table4[[#This Row],[SNR]],Deelnemers[#Data],2,0),"")</f>
        <v>181145</v>
      </c>
      <c r="B31">
        <f>IF(VLOOKUP(Table4[[#This Row],[SNR]],Deelnemers[#Data],8,0)&gt;0,"BM",IF(Table4[[#This Row],[Score]]="Disk",0,MATCH(Table4[[#This Row],[Sorteren]],Table4[Sorteren],0)-COUNTIF($B$7:$B30,"BM")))</f>
        <v>0</v>
      </c>
      <c r="D31" t="str">
        <f>IFERROR(VLOOKUP(Table4[[#This Row],[SNR]],Deelnemers[#Data],3,0),"")</f>
        <v>Eerjan de Bruijn</v>
      </c>
      <c r="E31" t="str">
        <f>IFERROR(VLOOKUP(Table4[[#This Row],[SNR]],Deelnemers[#Data],4,0),"")</f>
        <v>Cara</v>
      </c>
      <c r="F31" t="str">
        <f>IFERROR(VLOOKUP(Table4[[#This Row],[SNR]],Deelnemers[#Data],6,0),"")</f>
        <v>Border Collie</v>
      </c>
      <c r="G31" s="9">
        <v>90</v>
      </c>
      <c r="H31" s="9"/>
      <c r="I31" s="9"/>
      <c r="J31" s="9"/>
      <c r="K31" s="9"/>
      <c r="L31" s="9" t="s">
        <v>326</v>
      </c>
      <c r="M31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31">
        <f>IFERROR(PRODUCT($F$4,1/Table4[[#This Row],[Tijd]]),0)</f>
        <v>0</v>
      </c>
      <c r="O31">
        <f>SUM(Table4[[#This Row],[W]],Table4[[#This Row],[A]],Table4[[#This Row],[F]])*5</f>
        <v>0</v>
      </c>
      <c r="P31" t="str">
        <f>TEXT(Table4[[#This Row],[Score]],"00,00")&amp;TEXT(Table4[[#This Row],[Fouten]],"00")&amp;TEXT(Table4[[#This Row],[Tijd]],"00,000")</f>
        <v>Disk0000,000</v>
      </c>
      <c r="Q31" t="str">
        <f>IF(IFERROR(VLOOKUP(Table4[[#This Row],[SNR]],Deelnemers[#Data],7,0),0)&lt;&gt;$C$4,"Loopt niet in deze groep!",IF(COUNTIF(Table4[SNR],Table4[[#This Row],[SNR]])&gt;1,"Dubbel",""))</f>
        <v/>
      </c>
    </row>
    <row r="32" spans="1:17" x14ac:dyDescent="0.2">
      <c r="A32">
        <f>IFERROR(VLOOKUP(Table4[[#This Row],[SNR]],Deelnemers[#Data],2,0),"")</f>
        <v>184020</v>
      </c>
      <c r="B32">
        <f>IF(VLOOKUP(Table4[[#This Row],[SNR]],Deelnemers[#Data],8,0)&gt;0,"BM",IF(Table4[[#This Row],[Score]]="Disk",0,MATCH(Table4[[#This Row],[Sorteren]],Table4[Sorteren],0)-COUNTIF($B$7:$B31,"BM")))</f>
        <v>0</v>
      </c>
      <c r="D32" t="str">
        <f>IFERROR(VLOOKUP(Table4[[#This Row],[SNR]],Deelnemers[#Data],3,0),"")</f>
        <v>Yara Borger</v>
      </c>
      <c r="E32" t="str">
        <f>IFERROR(VLOOKUP(Table4[[#This Row],[SNR]],Deelnemers[#Data],4,0),"")</f>
        <v>Elsa</v>
      </c>
      <c r="F32" t="str">
        <f>IFERROR(VLOOKUP(Table4[[#This Row],[SNR]],Deelnemers[#Data],6,0),"")</f>
        <v>border collie</v>
      </c>
      <c r="G32" s="9">
        <v>92</v>
      </c>
      <c r="H32" s="9"/>
      <c r="I32" s="9"/>
      <c r="J32" s="9"/>
      <c r="K32" s="9"/>
      <c r="L32" s="9" t="s">
        <v>326</v>
      </c>
      <c r="M32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32">
        <f>IFERROR(PRODUCT($F$4,1/Table4[[#This Row],[Tijd]]),0)</f>
        <v>0</v>
      </c>
      <c r="O32">
        <f>SUM(Table4[[#This Row],[W]],Table4[[#This Row],[A]],Table4[[#This Row],[F]])*5</f>
        <v>0</v>
      </c>
      <c r="P32" t="str">
        <f>TEXT(Table4[[#This Row],[Score]],"00,00")&amp;TEXT(Table4[[#This Row],[Fouten]],"00")&amp;TEXT(Table4[[#This Row],[Tijd]],"00,000")</f>
        <v>Disk0000,000</v>
      </c>
      <c r="Q32" t="str">
        <f>IF(IFERROR(VLOOKUP(Table4[[#This Row],[SNR]],Deelnemers[#Data],7,0),0)&lt;&gt;$C$4,"Loopt niet in deze groep!",IF(COUNTIF(Table4[SNR],Table4[[#This Row],[SNR]])&gt;1,"Dubbel",""))</f>
        <v/>
      </c>
    </row>
    <row r="33" spans="1:17" x14ac:dyDescent="0.2">
      <c r="A33">
        <f>IFERROR(VLOOKUP(Table4[[#This Row],[SNR]],Deelnemers[#Data],2,0),"")</f>
        <v>183032</v>
      </c>
      <c r="B33">
        <f>IF(VLOOKUP(Table4[[#This Row],[SNR]],Deelnemers[#Data],8,0)&gt;0,"BM",IF(Table4[[#This Row],[Score]]="Disk",0,MATCH(Table4[[#This Row],[Sorteren]],Table4[Sorteren],0)-COUNTIF($B$7:$B32,"BM")))</f>
        <v>0</v>
      </c>
      <c r="D33" t="str">
        <f>IFERROR(VLOOKUP(Table4[[#This Row],[SNR]],Deelnemers[#Data],3,0),"")</f>
        <v>Marjolein van Sprang</v>
      </c>
      <c r="E33" t="str">
        <f>IFERROR(VLOOKUP(Table4[[#This Row],[SNR]],Deelnemers[#Data],4,0),"")</f>
        <v>Groovy</v>
      </c>
      <c r="F33" t="str">
        <f>IFERROR(VLOOKUP(Table4[[#This Row],[SNR]],Deelnemers[#Data],6,0),"")</f>
        <v>Belgische Herdershond, Groenendaeler</v>
      </c>
      <c r="G33" s="9">
        <v>95</v>
      </c>
      <c r="H33" s="9"/>
      <c r="I33" s="9"/>
      <c r="J33" s="9"/>
      <c r="K33" s="9"/>
      <c r="L33" s="9" t="s">
        <v>326</v>
      </c>
      <c r="M33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33">
        <f>IFERROR(PRODUCT($F$4,1/Table4[[#This Row],[Tijd]]),0)</f>
        <v>0</v>
      </c>
      <c r="O33">
        <f>SUM(Table4[[#This Row],[W]],Table4[[#This Row],[A]],Table4[[#This Row],[F]])*5</f>
        <v>0</v>
      </c>
      <c r="P33" t="str">
        <f>TEXT(Table4[[#This Row],[Score]],"00,00")&amp;TEXT(Table4[[#This Row],[Fouten]],"00")&amp;TEXT(Table4[[#This Row],[Tijd]],"00,000")</f>
        <v>Disk0000,000</v>
      </c>
      <c r="Q33" t="str">
        <f>IF(IFERROR(VLOOKUP(Table4[[#This Row],[SNR]],Deelnemers[#Data],7,0),0)&lt;&gt;$C$4,"Loopt niet in deze groep!",IF(COUNTIF(Table4[SNR],Table4[[#This Row],[SNR]])&gt;1,"Dubbel",""))</f>
        <v/>
      </c>
    </row>
    <row r="34" spans="1:17" x14ac:dyDescent="0.2">
      <c r="A34">
        <f>IFERROR(VLOOKUP(Table4[[#This Row],[SNR]],Deelnemers[#Data],2,0),"")</f>
        <v>183199</v>
      </c>
      <c r="B34">
        <f>IF(VLOOKUP(Table4[[#This Row],[SNR]],Deelnemers[#Data],8,0)&gt;0,"BM",IF(Table4[[#This Row],[Score]]="Disk",0,MATCH(Table4[[#This Row],[Sorteren]],Table4[Sorteren],0)-COUNTIF($B$7:$B33,"BM")))</f>
        <v>0</v>
      </c>
      <c r="D34" t="str">
        <f>IFERROR(VLOOKUP(Table4[[#This Row],[SNR]],Deelnemers[#Data],3,0),"")</f>
        <v>Sia Beuving</v>
      </c>
      <c r="E34" t="str">
        <f>IFERROR(VLOOKUP(Table4[[#This Row],[SNR]],Deelnemers[#Data],4,0),"")</f>
        <v>Ally</v>
      </c>
      <c r="F34" t="str">
        <f>IFERROR(VLOOKUP(Table4[[#This Row],[SNR]],Deelnemers[#Data],6,0),"")</f>
        <v>Hovawart</v>
      </c>
      <c r="G34" s="9">
        <v>97</v>
      </c>
      <c r="H34" s="9"/>
      <c r="I34" s="9"/>
      <c r="J34" s="9"/>
      <c r="K34" s="9"/>
      <c r="L34" s="9" t="s">
        <v>326</v>
      </c>
      <c r="M34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34">
        <f>IFERROR(PRODUCT($F$4,1/Table4[[#This Row],[Tijd]]),0)</f>
        <v>0</v>
      </c>
      <c r="O34">
        <f>SUM(Table4[[#This Row],[W]],Table4[[#This Row],[A]],Table4[[#This Row],[F]])*5</f>
        <v>0</v>
      </c>
      <c r="P34" t="str">
        <f>TEXT(Table4[[#This Row],[Score]],"00,00")&amp;TEXT(Table4[[#This Row],[Fouten]],"00")&amp;TEXT(Table4[[#This Row],[Tijd]],"00,000")</f>
        <v>Disk0000,000</v>
      </c>
      <c r="Q34" t="str">
        <f>IF(IFERROR(VLOOKUP(Table4[[#This Row],[SNR]],Deelnemers[#Data],7,0),0)&lt;&gt;$C$4,"Loopt niet in deze groep!",IF(COUNTIF(Table4[SNR],Table4[[#This Row],[SNR]])&gt;1,"Dubbel",""))</f>
        <v/>
      </c>
    </row>
    <row r="35" spans="1:17" x14ac:dyDescent="0.2">
      <c r="A35">
        <f>IFERROR(VLOOKUP(Table4[[#This Row],[SNR]],Deelnemers[#Data],2,0),"")</f>
        <v>176443</v>
      </c>
      <c r="B35">
        <f>IF(VLOOKUP(Table4[[#This Row],[SNR]],Deelnemers[#Data],8,0)&gt;0,"BM",IF(Table4[[#This Row],[Score]]="Disk",0,MATCH(Table4[[#This Row],[Sorteren]],Table4[Sorteren],0)-COUNTIF($B$7:$B34,"BM")))</f>
        <v>0</v>
      </c>
      <c r="D35" t="str">
        <f>IFERROR(VLOOKUP(Table4[[#This Row],[SNR]],Deelnemers[#Data],3,0),"")</f>
        <v>Lenie Henrion Verpoorten</v>
      </c>
      <c r="E35" t="str">
        <f>IFERROR(VLOOKUP(Table4[[#This Row],[SNR]],Deelnemers[#Data],4,0),"")</f>
        <v>Nara</v>
      </c>
      <c r="F35" t="str">
        <f>IFERROR(VLOOKUP(Table4[[#This Row],[SNR]],Deelnemers[#Data],6,0),"")</f>
        <v>Australian Shepherd</v>
      </c>
      <c r="G35" s="9">
        <v>99</v>
      </c>
      <c r="H35" s="9"/>
      <c r="I35" s="9"/>
      <c r="J35" s="9"/>
      <c r="K35" s="9"/>
      <c r="L35" s="9" t="s">
        <v>326</v>
      </c>
      <c r="M35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35">
        <f>IFERROR(PRODUCT($F$4,1/Table4[[#This Row],[Tijd]]),0)</f>
        <v>0</v>
      </c>
      <c r="O35">
        <f>SUM(Table4[[#This Row],[W]],Table4[[#This Row],[A]],Table4[[#This Row],[F]])*5</f>
        <v>0</v>
      </c>
      <c r="P35" t="str">
        <f>TEXT(Table4[[#This Row],[Score]],"00,00")&amp;TEXT(Table4[[#This Row],[Fouten]],"00")&amp;TEXT(Table4[[#This Row],[Tijd]],"00,000")</f>
        <v>Disk0000,000</v>
      </c>
      <c r="Q35" t="str">
        <f>IF(IFERROR(VLOOKUP(Table4[[#This Row],[SNR]],Deelnemers[#Data],7,0),0)&lt;&gt;$C$4,"Loopt niet in deze groep!",IF(COUNTIF(Table4[SNR],Table4[[#This Row],[SNR]])&gt;1,"Dubbel",""))</f>
        <v/>
      </c>
    </row>
    <row r="36" spans="1:17" x14ac:dyDescent="0.2">
      <c r="A36">
        <f>IFERROR(VLOOKUP(Table4[[#This Row],[SNR]],Deelnemers[#Data],2,0),"")</f>
        <v>180734</v>
      </c>
      <c r="B36">
        <f>IF(VLOOKUP(Table4[[#This Row],[SNR]],Deelnemers[#Data],8,0)&gt;0,"BM",IF(Table4[[#This Row],[Score]]="Disk",0,MATCH(Table4[[#This Row],[Sorteren]],Table4[Sorteren],0)-COUNTIF($B$7:$B35,"BM")))</f>
        <v>0</v>
      </c>
      <c r="D36" t="str">
        <f>IFERROR(VLOOKUP(Table4[[#This Row],[SNR]],Deelnemers[#Data],3,0),"")</f>
        <v>Saskia Brockmeyer</v>
      </c>
      <c r="E36" t="str">
        <f>IFERROR(VLOOKUP(Table4[[#This Row],[SNR]],Deelnemers[#Data],4,0),"")</f>
        <v>Kim</v>
      </c>
      <c r="F36" t="str">
        <f>IFERROR(VLOOKUP(Table4[[#This Row],[SNR]],Deelnemers[#Data],6,0),"")</f>
        <v>Australian Kelpie</v>
      </c>
      <c r="G36" s="9">
        <v>101</v>
      </c>
      <c r="H36" s="9"/>
      <c r="I36" s="9"/>
      <c r="J36" s="9"/>
      <c r="K36" s="9"/>
      <c r="L36" s="9" t="s">
        <v>326</v>
      </c>
      <c r="M36" t="str">
        <f>IF(OR(ISNUMBER(SEARCH("Jumping", $C$5)),ISNUMBER(SEARCH("Vast Parcours", $C$5)), ISNUMBER(SEARCH("NKT", $C$5))),IF(OR(Table4[[#This Row],[Disk]]&gt;0,Table4[[#This Row],[W]]&gt;=3,Table4[[#This Row],[Tijd]]&gt;$F$3),"Disk",IF(ISBLANK(Table4[[#This Row],[Tijd]]),"",Table4[[#This Row],[Fouten]]+MAX(0,Table4[[#This Row],[Tijd]]-$F$2))),"-")</f>
        <v>Disk</v>
      </c>
      <c r="N36">
        <f>IFERROR(PRODUCT($F$4,1/Table4[[#This Row],[Tijd]]),0)</f>
        <v>0</v>
      </c>
      <c r="O36">
        <f>SUM(Table4[[#This Row],[W]],Table4[[#This Row],[A]],Table4[[#This Row],[F]])*5</f>
        <v>0</v>
      </c>
      <c r="P36" t="str">
        <f>TEXT(Table4[[#This Row],[Score]],"00,00")&amp;TEXT(Table4[[#This Row],[Fouten]],"00")&amp;TEXT(Table4[[#This Row],[Tijd]],"00,000")</f>
        <v>Disk0000,000</v>
      </c>
      <c r="Q36" t="str">
        <f>IF(IFERROR(VLOOKUP(Table4[[#This Row],[SNR]],Deelnemers[#Data],7,0),0)&lt;&gt;$C$4,"Loopt niet in deze groep!",IF(COUNTIF(Table4[SNR],Table4[[#This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2:F4">
    <cfRule type="containsBlanks" dxfId="197" priority="2">
      <formula>LEN(TRIM(F2))=0</formula>
    </cfRule>
  </conditionalFormatting>
  <conditionalFormatting sqref="F1">
    <cfRule type="containsBlanks" dxfId="196" priority="1">
      <formula>LEN(TRIM(F1))=0</formula>
    </cfRule>
  </conditionalFormatting>
  <dataValidations count="2">
    <dataValidation type="list" allowBlank="1" showInputMessage="1" showErrorMessage="1" sqref="C4" xr:uid="{00000000-0002-0000-0400-000000000000}">
      <formula1>GroepLijst</formula1>
    </dataValidation>
    <dataValidation type="list" allowBlank="1" showInputMessage="1" showErrorMessage="1" sqref="F1" xr:uid="{484EC5FB-1FCC-6846-AABB-CEA9DCEA30FC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4"/>
  <sheetViews>
    <sheetView workbookViewId="0">
      <selection activeCell="H15" sqref="H15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11">
        <v>42</v>
      </c>
      <c r="G2" t="s">
        <v>308</v>
      </c>
      <c r="H2" s="12" t="str">
        <f>$C$4</f>
        <v>1ᵉ graad Medium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11">
        <v>64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1</v>
      </c>
      <c r="D4" s="13"/>
      <c r="E4" t="s">
        <v>310</v>
      </c>
      <c r="F4" s="11">
        <v>141</v>
      </c>
      <c r="G4" t="s">
        <v>311</v>
      </c>
      <c r="H4" s="12" t="str">
        <f>$C$5</f>
        <v>Jumping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305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IFERROR(VLOOKUP(Table5[[#This Row],[SNR]],Deelnemers[#Data],2,0),"")</f>
        <v>170844</v>
      </c>
      <c r="B8">
        <f>IF(VLOOKUP(Table5[[#This Row],[SNR]],Deelnemers[#Data],8,0)&gt;0,"BM",IF(Table5[[#This Row],[Score]]="Disk",0,MATCH(Table5[[#This Row],[Sorteren]],Table5[Sorteren],0)-COUNTIF($B$7:$B7,"BM")))</f>
        <v>1</v>
      </c>
      <c r="D8" t="str">
        <f>IFERROR(VLOOKUP(Table5[[#This Row],[SNR]],Deelnemers[#Data],3,0),"")</f>
        <v>Tjeerd Langhout</v>
      </c>
      <c r="E8" t="str">
        <f>IFERROR(VLOOKUP(Table5[[#This Row],[SNR]],Deelnemers[#Data],4,0),"")</f>
        <v>Elwood</v>
      </c>
      <c r="F8" t="str">
        <f>IFERROR(VLOOKUP(Table5[[#This Row],[SNR]],Deelnemers[#Data],6,0),"")</f>
        <v>Beagle</v>
      </c>
      <c r="G8" s="11">
        <v>109</v>
      </c>
      <c r="H8" s="11">
        <v>35.46</v>
      </c>
      <c r="I8" s="11"/>
      <c r="J8" s="11"/>
      <c r="K8" s="11"/>
      <c r="L8" s="11"/>
      <c r="M8">
        <f>IF(OR(ISNUMBER(SEARCH("Jumping", $C$5)),ISNUMBER(SEARCH("Vast Parcours", $C$5)), ISNUMBER(SEARCH("NKT", $C$5))),IF(OR(Table5[[#This Row],[Disk]]&gt;0,Table5[[#This Row],[W]]&gt;=3,Table5[[#This Row],[Tijd]]&gt;$F$3),"Disk",IF(ISBLANK(Table5[[#This Row],[Tijd]]),"",Table5[[#This Row],[Fouten]]+MAX(0,Table5[[#This Row],[Tijd]]-$F$2))),"-")</f>
        <v>0</v>
      </c>
      <c r="N8">
        <f>IFERROR(PRODUCT($F$4,1/Table5[[#This Row],[Tijd]]),0)</f>
        <v>3.9763113367174281</v>
      </c>
      <c r="O8">
        <f>SUM(Table5[[#This Row],[W]],Table5[[#This Row],[A]],Table5[[#This Row],[F]])*5</f>
        <v>0</v>
      </c>
      <c r="P8" t="str">
        <f>TEXT(Table5[[#This Row],[Score]],"00,00")&amp;TEXT(Table5[[#This Row],[Fouten]],"00")&amp;TEXT(Table5[[#This Row],[Tijd]],"00,000")</f>
        <v>00,000035,460</v>
      </c>
      <c r="Q8" t="str">
        <f>IF(IFERROR(VLOOKUP(Table5[[#This Row],[SNR]],Deelnemers[#Data],7,0),0)&lt;&gt;$C$4,"Loopt niet in deze groep!",IF(COUNTIF(Table5[SNR],Table5[[#This Row],[SNR]])&gt;1,"Dubbel",""))</f>
        <v/>
      </c>
    </row>
    <row r="9" spans="1:17" x14ac:dyDescent="0.2">
      <c r="A9">
        <f>IFERROR(VLOOKUP(Table5[[#This Row],[SNR]],Deelnemers[#Data],2,0),"")</f>
        <v>184225</v>
      </c>
      <c r="B9">
        <f>IF(VLOOKUP(Table5[[#This Row],[SNR]],Deelnemers[#Data],8,0)&gt;0,"BM",IF(Table5[[#This Row],[Score]]="Disk",0,MATCH(Table5[[#This Row],[Sorteren]],Table5[Sorteren],0)-COUNTIF($B$7:$B8,"BM")))</f>
        <v>0</v>
      </c>
      <c r="D9" t="str">
        <f>IFERROR(VLOOKUP(Table5[[#This Row],[SNR]],Deelnemers[#Data],3,0),"")</f>
        <v>Sanne Graafstra</v>
      </c>
      <c r="E9" t="str">
        <f>IFERROR(VLOOKUP(Table5[[#This Row],[SNR]],Deelnemers[#Data],4,0),"")</f>
        <v>Sky</v>
      </c>
      <c r="F9" t="str">
        <f>IFERROR(VLOOKUP(Table5[[#This Row],[SNR]],Deelnemers[#Data],6,0),"")</f>
        <v>Shetland Sheepdog</v>
      </c>
      <c r="G9">
        <v>103</v>
      </c>
      <c r="L9" t="s">
        <v>326</v>
      </c>
      <c r="M9" t="str">
        <f>IF(OR(ISNUMBER(SEARCH("Jumping", $C$5)),ISNUMBER(SEARCH("Vast Parcours", $C$5)), ISNUMBER(SEARCH("NKT", $C$5))),IF(OR(Table5[[#This Row],[Disk]]&gt;0,Table5[[#This Row],[W]]&gt;=3,Table5[[#This Row],[Tijd]]&gt;$F$3),"Disk",IF(ISBLANK(Table5[[#This Row],[Tijd]]),"",Table5[[#This Row],[Fouten]]+MAX(0,Table5[[#This Row],[Tijd]]-$F$2))),"-")</f>
        <v>Disk</v>
      </c>
      <c r="N9">
        <f>IFERROR(PRODUCT($F$4,1/Table5[[#This Row],[Tijd]]),0)</f>
        <v>0</v>
      </c>
      <c r="O9">
        <f>SUM(Table5[[#This Row],[W]],Table5[[#This Row],[A]],Table5[[#This Row],[F]])*5</f>
        <v>0</v>
      </c>
      <c r="P9" t="str">
        <f>TEXT(Table5[[#This Row],[Score]],"00,00")&amp;TEXT(Table5[[#This Row],[Fouten]],"00")&amp;TEXT(Table5[[#This Row],[Tijd]],"00,000")</f>
        <v>Disk0000,000</v>
      </c>
      <c r="Q9" t="str">
        <f>IF(IFERROR(VLOOKUP(Table5[[#This Row],[SNR]],Deelnemers[#Data],7,0),0)&lt;&gt;$C$4,"Loopt niet in deze groep!",IF(COUNTIF(Table5[SNR],Table5[[#This Row],[SNR]])&gt;1,"Dubbel",""))</f>
        <v/>
      </c>
    </row>
    <row r="10" spans="1:17" x14ac:dyDescent="0.2">
      <c r="A10">
        <f>IFERROR(VLOOKUP(Table5[[#This Row],[SNR]],Deelnemers[#Data],2,0),"")</f>
        <v>171212</v>
      </c>
      <c r="B10">
        <f>IF(VLOOKUP(Table5[[#This Row],[SNR]],Deelnemers[#Data],8,0)&gt;0,"BM",IF(Table5[[#This Row],[Score]]="Disk",0,MATCH(Table5[[#This Row],[Sorteren]],Table5[Sorteren],0)-COUNTIF($B$7:$B9,"BM")))</f>
        <v>0</v>
      </c>
      <c r="D10" t="str">
        <f>IFERROR(VLOOKUP(Table5[[#This Row],[SNR]],Deelnemers[#Data],3,0),"")</f>
        <v>Ilse Mouwen</v>
      </c>
      <c r="E10" t="str">
        <f>IFERROR(VLOOKUP(Table5[[#This Row],[SNR]],Deelnemers[#Data],4,0),"")</f>
        <v>Google</v>
      </c>
      <c r="F10" t="str">
        <f>IFERROR(VLOOKUP(Table5[[#This Row],[SNR]],Deelnemers[#Data],6,0),"")</f>
        <v>Shetland Sheepdog</v>
      </c>
      <c r="G10" s="11">
        <v>104</v>
      </c>
      <c r="H10" s="11"/>
      <c r="I10" s="11"/>
      <c r="J10" s="11"/>
      <c r="K10" s="11"/>
      <c r="L10" s="11" t="s">
        <v>326</v>
      </c>
      <c r="M10" t="str">
        <f>IF(OR(ISNUMBER(SEARCH("Jumping", $C$5)),ISNUMBER(SEARCH("Vast Parcours", $C$5)), ISNUMBER(SEARCH("NKT", $C$5))),IF(OR(Table5[[#This Row],[Disk]]&gt;0,Table5[[#This Row],[W]]&gt;=3,Table5[[#This Row],[Tijd]]&gt;$F$3),"Disk",IF(ISBLANK(Table5[[#This Row],[Tijd]]),"",Table5[[#This Row],[Fouten]]+MAX(0,Table5[[#This Row],[Tijd]]-$F$2))),"-")</f>
        <v>Disk</v>
      </c>
      <c r="N10">
        <f>IFERROR(PRODUCT($F$4,1/Table5[[#This Row],[Tijd]]),0)</f>
        <v>0</v>
      </c>
      <c r="O10">
        <f>SUM(Table5[[#This Row],[W]],Table5[[#This Row],[A]],Table5[[#This Row],[F]])*5</f>
        <v>0</v>
      </c>
      <c r="P10" t="str">
        <f>TEXT(Table5[[#This Row],[Score]],"00,00")&amp;TEXT(Table5[[#This Row],[Fouten]],"00")&amp;TEXT(Table5[[#This Row],[Tijd]],"00,000")</f>
        <v>Disk0000,000</v>
      </c>
      <c r="Q10" t="str">
        <f>IF(IFERROR(VLOOKUP(Table5[[#This Row],[SNR]],Deelnemers[#Data],7,0),0)&lt;&gt;$C$4,"Loopt niet in deze groep!",IF(COUNTIF(Table5[SNR],Table5[[#This Row],[SNR]])&gt;1,"Dubbel",""))</f>
        <v/>
      </c>
    </row>
    <row r="11" spans="1:17" x14ac:dyDescent="0.2">
      <c r="A11">
        <f>IFERROR(VLOOKUP(Table5[[#This Row],[SNR]],Deelnemers[#Data],2,0),"")</f>
        <v>174068</v>
      </c>
      <c r="B11">
        <f>IF(VLOOKUP(Table5[[#This Row],[SNR]],Deelnemers[#Data],8,0)&gt;0,"BM",IF(Table5[[#This Row],[Score]]="Disk",0,MATCH(Table5[[#This Row],[Sorteren]],Table5[Sorteren],0)-COUNTIF($B$7:$B10,"BM")))</f>
        <v>0</v>
      </c>
      <c r="D11" t="str">
        <f>IFERROR(VLOOKUP(Table5[[#This Row],[SNR]],Deelnemers[#Data],3,0),"")</f>
        <v>Aaltje Gorter</v>
      </c>
      <c r="E11" t="str">
        <f>IFERROR(VLOOKUP(Table5[[#This Row],[SNR]],Deelnemers[#Data],4,0),"")</f>
        <v>Daisy</v>
      </c>
      <c r="F11" t="str">
        <f>IFERROR(VLOOKUP(Table5[[#This Row],[SNR]],Deelnemers[#Data],6,0),"")</f>
        <v>Shetland Sheepdog</v>
      </c>
      <c r="G11" s="11">
        <v>105</v>
      </c>
      <c r="H11" s="11"/>
      <c r="I11" s="11"/>
      <c r="J11" s="11"/>
      <c r="K11" s="11"/>
      <c r="L11" s="11" t="s">
        <v>326</v>
      </c>
      <c r="M11" t="str">
        <f>IF(OR(ISNUMBER(SEARCH("Jumping", $C$5)),ISNUMBER(SEARCH("Vast Parcours", $C$5)), ISNUMBER(SEARCH("NKT", $C$5))),IF(OR(Table5[[#This Row],[Disk]]&gt;0,Table5[[#This Row],[W]]&gt;=3,Table5[[#This Row],[Tijd]]&gt;$F$3),"Disk",IF(ISBLANK(Table5[[#This Row],[Tijd]]),"",Table5[[#This Row],[Fouten]]+MAX(0,Table5[[#This Row],[Tijd]]-$F$2))),"-")</f>
        <v>Disk</v>
      </c>
      <c r="N11">
        <f>IFERROR(PRODUCT($F$4,1/Table5[[#This Row],[Tijd]]),0)</f>
        <v>0</v>
      </c>
      <c r="O11">
        <f>SUM(Table5[[#This Row],[W]],Table5[[#This Row],[A]],Table5[[#This Row],[F]])*5</f>
        <v>0</v>
      </c>
      <c r="P11" t="str">
        <f>TEXT(Table5[[#This Row],[Score]],"00,00")&amp;TEXT(Table5[[#This Row],[Fouten]],"00")&amp;TEXT(Table5[[#This Row],[Tijd]],"00,000")</f>
        <v>Disk0000,000</v>
      </c>
      <c r="Q11" t="str">
        <f>IF(IFERROR(VLOOKUP(Table5[[#This Row],[SNR]],Deelnemers[#Data],7,0),0)&lt;&gt;$C$4,"Loopt niet in deze groep!",IF(COUNTIF(Table5[SNR],Table5[[#This Row],[SNR]])&gt;1,"Dubbel",""))</f>
        <v/>
      </c>
    </row>
    <row r="12" spans="1:17" x14ac:dyDescent="0.2">
      <c r="A12">
        <f>IFERROR(VLOOKUP(Table5[[#This Row],[SNR]],Deelnemers[#Data],2,0),"")</f>
        <v>184179</v>
      </c>
      <c r="B12">
        <f>IF(VLOOKUP(Table5[[#This Row],[SNR]],Deelnemers[#Data],8,0)&gt;0,"BM",IF(Table5[[#This Row],[Score]]="Disk",0,MATCH(Table5[[#This Row],[Sorteren]],Table5[Sorteren],0)-COUNTIF($B$7:$B11,"BM")))</f>
        <v>0</v>
      </c>
      <c r="D12" t="str">
        <f>IFERROR(VLOOKUP(Table5[[#This Row],[SNR]],Deelnemers[#Data],3,0),"")</f>
        <v>Melanie Freriksen</v>
      </c>
      <c r="E12" t="str">
        <f>IFERROR(VLOOKUP(Table5[[#This Row],[SNR]],Deelnemers[#Data],4,0),"")</f>
        <v>Happy</v>
      </c>
      <c r="F12" t="str">
        <f>IFERROR(VLOOKUP(Table5[[#This Row],[SNR]],Deelnemers[#Data],6,0),"")</f>
        <v>poedel</v>
      </c>
      <c r="G12" s="11">
        <v>106</v>
      </c>
      <c r="H12" s="11"/>
      <c r="I12" s="11"/>
      <c r="J12" s="11"/>
      <c r="K12" s="11"/>
      <c r="L12" s="11" t="s">
        <v>326</v>
      </c>
      <c r="M12" t="str">
        <f>IF(OR(ISNUMBER(SEARCH("Jumping", $C$5)),ISNUMBER(SEARCH("Vast Parcours", $C$5)), ISNUMBER(SEARCH("NKT", $C$5))),IF(OR(Table5[[#This Row],[Disk]]&gt;0,Table5[[#This Row],[W]]&gt;=3,Table5[[#This Row],[Tijd]]&gt;$F$3),"Disk",IF(ISBLANK(Table5[[#This Row],[Tijd]]),"",Table5[[#This Row],[Fouten]]+MAX(0,Table5[[#This Row],[Tijd]]-$F$2))),"-")</f>
        <v>Disk</v>
      </c>
      <c r="N12">
        <f>IFERROR(PRODUCT($F$4,1/Table5[[#This Row],[Tijd]]),0)</f>
        <v>0</v>
      </c>
      <c r="O12">
        <f>SUM(Table5[[#This Row],[W]],Table5[[#This Row],[A]],Table5[[#This Row],[F]])*5</f>
        <v>0</v>
      </c>
      <c r="P12" t="str">
        <f>TEXT(Table5[[#This Row],[Score]],"00,00")&amp;TEXT(Table5[[#This Row],[Fouten]],"00")&amp;TEXT(Table5[[#This Row],[Tijd]],"00,000")</f>
        <v>Disk0000,000</v>
      </c>
      <c r="Q12" t="str">
        <f>IF(IFERROR(VLOOKUP(Table5[[#This Row],[SNR]],Deelnemers[#Data],7,0),0)&lt;&gt;$C$4,"Loopt niet in deze groep!",IF(COUNTIF(Table5[SNR],Table5[[#This Row],[SNR]])&gt;1,"Dubbel",""))</f>
        <v/>
      </c>
    </row>
    <row r="13" spans="1:17" x14ac:dyDescent="0.2">
      <c r="A13">
        <f>IFERROR(VLOOKUP(Table5[[#This Row],[SNR]],Deelnemers[#Data],2,0),"")</f>
        <v>164704</v>
      </c>
      <c r="B13">
        <f>IF(VLOOKUP(Table5[[#This Row],[SNR]],Deelnemers[#Data],8,0)&gt;0,"BM",IF(Table5[[#This Row],[Score]]="Disk",0,MATCH(Table5[[#This Row],[Sorteren]],Table5[Sorteren],0)-COUNTIF($B$7:$B12,"BM")))</f>
        <v>0</v>
      </c>
      <c r="D13" t="str">
        <f>IFERROR(VLOOKUP(Table5[[#This Row],[SNR]],Deelnemers[#Data],3,0),"")</f>
        <v>Esther Booker</v>
      </c>
      <c r="E13" t="str">
        <f>IFERROR(VLOOKUP(Table5[[#This Row],[SNR]],Deelnemers[#Data],4,0),"")</f>
        <v>Ootje</v>
      </c>
      <c r="F13" t="str">
        <f>IFERROR(VLOOKUP(Table5[[#This Row],[SNR]],Deelnemers[#Data],6,0),"")</f>
        <v>Nova Scotia Duck Tolling Retriever</v>
      </c>
      <c r="G13" s="11">
        <v>107</v>
      </c>
      <c r="H13" s="11"/>
      <c r="I13" s="11"/>
      <c r="J13" s="11"/>
      <c r="K13" s="11"/>
      <c r="L13" s="11" t="s">
        <v>326</v>
      </c>
      <c r="M13" t="str">
        <f>IF(OR(ISNUMBER(SEARCH("Jumping", $C$5)),ISNUMBER(SEARCH("Vast Parcours", $C$5)), ISNUMBER(SEARCH("NKT", $C$5))),IF(OR(Table5[[#This Row],[Disk]]&gt;0,Table5[[#This Row],[W]]&gt;=3,Table5[[#This Row],[Tijd]]&gt;$F$3),"Disk",IF(ISBLANK(Table5[[#This Row],[Tijd]]),"",Table5[[#This Row],[Fouten]]+MAX(0,Table5[[#This Row],[Tijd]]-$F$2))),"-")</f>
        <v>Disk</v>
      </c>
      <c r="N13">
        <f>IFERROR(PRODUCT($F$4,1/Table5[[#This Row],[Tijd]]),0)</f>
        <v>0</v>
      </c>
      <c r="O13">
        <f>SUM(Table5[[#This Row],[W]],Table5[[#This Row],[A]],Table5[[#This Row],[F]])*5</f>
        <v>0</v>
      </c>
      <c r="P13" t="str">
        <f>TEXT(Table5[[#This Row],[Score]],"00,00")&amp;TEXT(Table5[[#This Row],[Fouten]],"00")&amp;TEXT(Table5[[#This Row],[Tijd]],"00,000")</f>
        <v>Disk0000,000</v>
      </c>
      <c r="Q13" t="str">
        <f>IF(IFERROR(VLOOKUP(Table5[[#This Row],[SNR]],Deelnemers[#Data],7,0),0)&lt;&gt;$C$4,"Loopt niet in deze groep!",IF(COUNTIF(Table5[SNR],Table5[[#This Row],[SNR]])&gt;1,"Dubbel",""))</f>
        <v/>
      </c>
    </row>
    <row r="14" spans="1:17" x14ac:dyDescent="0.2">
      <c r="A14">
        <f>IFERROR(VLOOKUP(Table5[[#This Row],[SNR]],Deelnemers[#Data],2,0),"")</f>
        <v>182710</v>
      </c>
      <c r="B14">
        <f>IF(VLOOKUP(Table5[[#This Row],[SNR]],Deelnemers[#Data],8,0)&gt;0,"BM",IF(Table5[[#This Row],[Score]]="Disk",0,MATCH(Table5[[#This Row],[Sorteren]],Table5[Sorteren],0)-COUNTIF($B$7:$B13,"BM")))</f>
        <v>0</v>
      </c>
      <c r="D14" t="str">
        <f>IFERROR(VLOOKUP(Table5[[#This Row],[SNR]],Deelnemers[#Data],3,0),"")</f>
        <v>Leida Beugels</v>
      </c>
      <c r="E14" t="str">
        <f>IFERROR(VLOOKUP(Table5[[#This Row],[SNR]],Deelnemers[#Data],4,0),"")</f>
        <v>Knut</v>
      </c>
      <c r="F14" t="str">
        <f>IFERROR(VLOOKUP(Table5[[#This Row],[SNR]],Deelnemers[#Data],6,0),"")</f>
        <v>kruising keeshond</v>
      </c>
      <c r="G14" s="11">
        <v>108</v>
      </c>
      <c r="H14" s="11"/>
      <c r="I14" s="11"/>
      <c r="J14" s="11"/>
      <c r="K14" s="11"/>
      <c r="L14" s="11" t="s">
        <v>326</v>
      </c>
      <c r="M14" t="str">
        <f>IF(OR(ISNUMBER(SEARCH("Jumping", $C$5)),ISNUMBER(SEARCH("Vast Parcours", $C$5)), ISNUMBER(SEARCH("NKT", $C$5))),IF(OR(Table5[[#This Row],[Disk]]&gt;0,Table5[[#This Row],[W]]&gt;=3,Table5[[#This Row],[Tijd]]&gt;$F$3),"Disk",IF(ISBLANK(Table5[[#This Row],[Tijd]]),"",Table5[[#This Row],[Fouten]]+MAX(0,Table5[[#This Row],[Tijd]]-$F$2))),"-")</f>
        <v>Disk</v>
      </c>
      <c r="N14">
        <f>IFERROR(PRODUCT($F$4,1/Table5[[#This Row],[Tijd]]),0)</f>
        <v>0</v>
      </c>
      <c r="O14">
        <f>SUM(Table5[[#This Row],[W]],Table5[[#This Row],[A]],Table5[[#This Row],[F]])*5</f>
        <v>0</v>
      </c>
      <c r="P14" t="str">
        <f>TEXT(Table5[[#This Row],[Score]],"00,00")&amp;TEXT(Table5[[#This Row],[Fouten]],"00")&amp;TEXT(Table5[[#This Row],[Tijd]],"00,000")</f>
        <v>Disk0000,000</v>
      </c>
      <c r="Q14" t="str">
        <f>IF(IFERROR(VLOOKUP(Table5[[#This Row],[SNR]],Deelnemers[#Data],7,0),0)&lt;&gt;$C$4,"Loopt niet in deze groep!",IF(COUNTIF(Table5[SNR],Table5[[#This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88" priority="2">
      <formula>LEN(TRIM(F1))=0</formula>
    </cfRule>
  </conditionalFormatting>
  <conditionalFormatting sqref="F2:F4">
    <cfRule type="containsBlanks" dxfId="1" priority="1">
      <formula>LEN(TRIM(F2))=0</formula>
    </cfRule>
  </conditionalFormatting>
  <dataValidations count="2">
    <dataValidation type="list" allowBlank="1" showInputMessage="1" showErrorMessage="1" sqref="C4" xr:uid="{00000000-0002-0000-0500-000000000000}">
      <formula1>GroepLijst</formula1>
    </dataValidation>
    <dataValidation type="list" allowBlank="1" showInputMessage="1" showErrorMessage="1" sqref="F1" xr:uid="{88F70D99-9676-7942-A462-93C4D74F962A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4"/>
  <sheetViews>
    <sheetView topLeftCell="C1" workbookViewId="0">
      <selection activeCell="N16" sqref="N16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6">
        <v>54</v>
      </c>
      <c r="G2" t="s">
        <v>308</v>
      </c>
      <c r="H2" s="12" t="str">
        <f>$C$4</f>
        <v>1ᵉ graad Medium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6">
        <v>84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1</v>
      </c>
      <c r="D4" s="13"/>
      <c r="E4" t="s">
        <v>310</v>
      </c>
      <c r="F4" s="6">
        <v>168</v>
      </c>
      <c r="G4" t="s">
        <v>311</v>
      </c>
      <c r="H4" s="12" t="str">
        <f>$C$5</f>
        <v>Vast Parcours 1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324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IFERROR(VLOOKUP(Table6[[#This Row],[SNR]],Deelnemers[#Data],2,0),"")</f>
        <v>164704</v>
      </c>
      <c r="B8">
        <f>IF(VLOOKUP(Table6[[#This Row],[SNR]],Deelnemers[#Data],8,0)&gt;0,"BM",IF(Table6[[#This Row],[Score]]="Disk",0,MATCH(Table6[[#This Row],[Sorteren]],Table6[Sorteren],0)-COUNTIF($B$7:$B7,"BM")))</f>
        <v>1</v>
      </c>
      <c r="D8" t="str">
        <f>IFERROR(VLOOKUP(Table6[[#This Row],[SNR]],Deelnemers[#Data],3,0),"")</f>
        <v>Esther Booker</v>
      </c>
      <c r="E8" t="str">
        <f>IFERROR(VLOOKUP(Table6[[#This Row],[SNR]],Deelnemers[#Data],4,0),"")</f>
        <v>Ootje</v>
      </c>
      <c r="F8" t="str">
        <f>IFERROR(VLOOKUP(Table6[[#This Row],[SNR]],Deelnemers[#Data],6,0),"")</f>
        <v>Nova Scotia Duck Tolling Retriever</v>
      </c>
      <c r="G8" s="6">
        <v>107</v>
      </c>
      <c r="H8" s="6">
        <v>39.64</v>
      </c>
      <c r="I8" s="6"/>
      <c r="J8" s="6"/>
      <c r="K8" s="6"/>
      <c r="L8" s="6"/>
      <c r="M8">
        <f>IF(OR(ISNUMBER(SEARCH("Jumping", $C$5)),ISNUMBER(SEARCH("Vast Parcours", $C$5)), ISNUMBER(SEARCH("NKT", $C$5))),IF(OR(Table6[[#This Row],[Disk]]&gt;0,Table6[[#This Row],[W]]&gt;=3,Table6[[#This Row],[Tijd]]&gt;$F$3),"Disk",IF(ISBLANK(Table6[[#This Row],[Tijd]]),"",Table6[[#This Row],[Fouten]]+MAX(0,Table6[[#This Row],[Tijd]]-$F$2))),"-")</f>
        <v>0</v>
      </c>
      <c r="N8">
        <f>IFERROR(PRODUCT($F$4,1/Table6[[#This Row],[Tijd]]),0)</f>
        <v>4.2381432896064579</v>
      </c>
      <c r="O8">
        <f>SUM(Table6[[#This Row],[W]],Table6[[#This Row],[A]],Table6[[#This Row],[F]])*5</f>
        <v>0</v>
      </c>
      <c r="P8" t="str">
        <f>TEXT(Table6[[#This Row],[Score]],"00,00")&amp;TEXT(Table6[[#This Row],[Fouten]],"00")&amp;TEXT(Table6[[#This Row],[Tijd]],"00,000")</f>
        <v>00,000039,640</v>
      </c>
      <c r="Q8" t="str">
        <f>IF(IFERROR(VLOOKUP(Table6[[#This Row],[SNR]],Deelnemers[#Data],7,0),0)&lt;&gt;$C$4,"Loopt niet in deze groep!",IF(COUNTIF(Table6[SNR],Table6[[#This Row],[SNR]])&gt;1,"Dubbel",""))</f>
        <v/>
      </c>
    </row>
    <row r="9" spans="1:17" x14ac:dyDescent="0.2">
      <c r="A9">
        <f>IFERROR(VLOOKUP(Table6[[#This Row],[SNR]],Deelnemers[#Data],2,0),"")</f>
        <v>174068</v>
      </c>
      <c r="B9">
        <f>IF(VLOOKUP(Table6[[#This Row],[SNR]],Deelnemers[#Data],8,0)&gt;0,"BM",IF(Table6[[#This Row],[Score]]="Disk",0,MATCH(Table6[[#This Row],[Sorteren]],Table6[Sorteren],0)-COUNTIF($B$7:$B8,"BM")))</f>
        <v>2</v>
      </c>
      <c r="D9" t="str">
        <f>IFERROR(VLOOKUP(Table6[[#This Row],[SNR]],Deelnemers[#Data],3,0),"")</f>
        <v>Aaltje Gorter</v>
      </c>
      <c r="E9" t="str">
        <f>IFERROR(VLOOKUP(Table6[[#This Row],[SNR]],Deelnemers[#Data],4,0),"")</f>
        <v>Daisy</v>
      </c>
      <c r="F9" t="str">
        <f>IFERROR(VLOOKUP(Table6[[#This Row],[SNR]],Deelnemers[#Data],6,0),"")</f>
        <v>Shetland Sheepdog</v>
      </c>
      <c r="G9" s="6">
        <v>105</v>
      </c>
      <c r="H9" s="6">
        <v>48.1</v>
      </c>
      <c r="I9" s="6"/>
      <c r="J9" s="6"/>
      <c r="K9" s="6">
        <v>3</v>
      </c>
      <c r="L9" s="6"/>
      <c r="M9">
        <f>IF(OR(ISNUMBER(SEARCH("Jumping", $C$5)),ISNUMBER(SEARCH("Vast Parcours", $C$5)), ISNUMBER(SEARCH("NKT", $C$5))),IF(OR(Table6[[#This Row],[Disk]]&gt;0,Table6[[#This Row],[W]]&gt;=3,Table6[[#This Row],[Tijd]]&gt;$F$3),"Disk",IF(ISBLANK(Table6[[#This Row],[Tijd]]),"",Table6[[#This Row],[Fouten]]+MAX(0,Table6[[#This Row],[Tijd]]-$F$2))),"-")</f>
        <v>15</v>
      </c>
      <c r="N9">
        <f>IFERROR(PRODUCT($F$4,1/Table6[[#This Row],[Tijd]]),0)</f>
        <v>3.4927234927234925</v>
      </c>
      <c r="O9">
        <f>SUM(Table6[[#This Row],[W]],Table6[[#This Row],[A]],Table6[[#This Row],[F]])*5</f>
        <v>15</v>
      </c>
      <c r="P9" t="str">
        <f>TEXT(Table6[[#This Row],[Score]],"00,00")&amp;TEXT(Table6[[#This Row],[Fouten]],"00")&amp;TEXT(Table6[[#This Row],[Tijd]],"00,000")</f>
        <v>15,001548,100</v>
      </c>
      <c r="Q9" t="str">
        <f>IF(IFERROR(VLOOKUP(Table6[[#This Row],[SNR]],Deelnemers[#Data],7,0),0)&lt;&gt;$C$4,"Loopt niet in deze groep!",IF(COUNTIF(Table6[SNR],Table6[[#This Row],[SNR]])&gt;1,"Dubbel",""))</f>
        <v/>
      </c>
    </row>
    <row r="10" spans="1:17" x14ac:dyDescent="0.2">
      <c r="A10">
        <f>IFERROR(VLOOKUP(Table6[[#This Row],[SNR]],Deelnemers[#Data],2,0),"")</f>
        <v>184225</v>
      </c>
      <c r="B10">
        <f>IF(VLOOKUP(Table6[[#This Row],[SNR]],Deelnemers[#Data],8,0)&gt;0,"BM",IF(Table6[[#This Row],[Score]]="Disk",0,MATCH(Table6[[#This Row],[Sorteren]],Table6[Sorteren],0)-COUNTIF($B$7:$B9,"BM")))</f>
        <v>0</v>
      </c>
      <c r="D10" t="str">
        <f>IFERROR(VLOOKUP(Table6[[#This Row],[SNR]],Deelnemers[#Data],3,0),"")</f>
        <v>Sanne Graafstra</v>
      </c>
      <c r="E10" t="str">
        <f>IFERROR(VLOOKUP(Table6[[#This Row],[SNR]],Deelnemers[#Data],4,0),"")</f>
        <v>Sky</v>
      </c>
      <c r="F10" t="str">
        <f>IFERROR(VLOOKUP(Table6[[#This Row],[SNR]],Deelnemers[#Data],6,0),"")</f>
        <v>Shetland Sheepdog</v>
      </c>
      <c r="G10">
        <v>103</v>
      </c>
      <c r="L10" t="s">
        <v>326</v>
      </c>
      <c r="M10" t="str">
        <f>IF(OR(ISNUMBER(SEARCH("Jumping", $C$5)),ISNUMBER(SEARCH("Vast Parcours", $C$5)), ISNUMBER(SEARCH("NKT", $C$5))),IF(OR(Table6[[#This Row],[Disk]]&gt;0,Table6[[#This Row],[W]]&gt;=3,Table6[[#This Row],[Tijd]]&gt;$F$3),"Disk",IF(ISBLANK(Table6[[#This Row],[Tijd]]),"",Table6[[#This Row],[Fouten]]+MAX(0,Table6[[#This Row],[Tijd]]-$F$2))),"-")</f>
        <v>Disk</v>
      </c>
      <c r="N10">
        <f>IFERROR(PRODUCT($F$4,1/Table6[[#This Row],[Tijd]]),0)</f>
        <v>0</v>
      </c>
      <c r="O10">
        <f>SUM(Table6[[#This Row],[W]],Table6[[#This Row],[A]],Table6[[#This Row],[F]])*5</f>
        <v>0</v>
      </c>
      <c r="P10" t="str">
        <f>TEXT(Table6[[#This Row],[Score]],"00,00")&amp;TEXT(Table6[[#This Row],[Fouten]],"00")&amp;TEXT(Table6[[#This Row],[Tijd]],"00,000")</f>
        <v>Disk0000,000</v>
      </c>
      <c r="Q10" t="str">
        <f>IF(IFERROR(VLOOKUP(Table6[[#This Row],[SNR]],Deelnemers[#Data],7,0),0)&lt;&gt;$C$4,"Loopt niet in deze groep!",IF(COUNTIF(Table6[SNR],Table6[[#This Row],[SNR]])&gt;1,"Dubbel",""))</f>
        <v/>
      </c>
    </row>
    <row r="11" spans="1:17" x14ac:dyDescent="0.2">
      <c r="A11">
        <f>IFERROR(VLOOKUP(Table6[[#This Row],[SNR]],Deelnemers[#Data],2,0),"")</f>
        <v>171212</v>
      </c>
      <c r="B11">
        <f>IF(VLOOKUP(Table6[[#This Row],[SNR]],Deelnemers[#Data],8,0)&gt;0,"BM",IF(Table6[[#This Row],[Score]]="Disk",0,MATCH(Table6[[#This Row],[Sorteren]],Table6[Sorteren],0)-COUNTIF($B$7:$B10,"BM")))</f>
        <v>0</v>
      </c>
      <c r="D11" t="str">
        <f>IFERROR(VLOOKUP(Table6[[#This Row],[SNR]],Deelnemers[#Data],3,0),"")</f>
        <v>Ilse Mouwen</v>
      </c>
      <c r="E11" t="str">
        <f>IFERROR(VLOOKUP(Table6[[#This Row],[SNR]],Deelnemers[#Data],4,0),"")</f>
        <v>Google</v>
      </c>
      <c r="F11" t="str">
        <f>IFERROR(VLOOKUP(Table6[[#This Row],[SNR]],Deelnemers[#Data],6,0),"")</f>
        <v>Shetland Sheepdog</v>
      </c>
      <c r="G11" s="6">
        <v>104</v>
      </c>
      <c r="H11" s="6"/>
      <c r="I11" s="6"/>
      <c r="J11" s="6"/>
      <c r="K11" s="6"/>
      <c r="L11" s="6" t="s">
        <v>326</v>
      </c>
      <c r="M11" t="str">
        <f>IF(OR(ISNUMBER(SEARCH("Jumping", $C$5)),ISNUMBER(SEARCH("Vast Parcours", $C$5)), ISNUMBER(SEARCH("NKT", $C$5))),IF(OR(Table6[[#This Row],[Disk]]&gt;0,Table6[[#This Row],[W]]&gt;=3,Table6[[#This Row],[Tijd]]&gt;$F$3),"Disk",IF(ISBLANK(Table6[[#This Row],[Tijd]]),"",Table6[[#This Row],[Fouten]]+MAX(0,Table6[[#This Row],[Tijd]]-$F$2))),"-")</f>
        <v>Disk</v>
      </c>
      <c r="N11">
        <f>IFERROR(PRODUCT($F$4,1/Table6[[#This Row],[Tijd]]),0)</f>
        <v>0</v>
      </c>
      <c r="O11">
        <f>SUM(Table6[[#This Row],[W]],Table6[[#This Row],[A]],Table6[[#This Row],[F]])*5</f>
        <v>0</v>
      </c>
      <c r="P11" t="str">
        <f>TEXT(Table6[[#This Row],[Score]],"00,00")&amp;TEXT(Table6[[#This Row],[Fouten]],"00")&amp;TEXT(Table6[[#This Row],[Tijd]],"00,000")</f>
        <v>Disk0000,000</v>
      </c>
      <c r="Q11" t="str">
        <f>IF(IFERROR(VLOOKUP(Table6[[#This Row],[SNR]],Deelnemers[#Data],7,0),0)&lt;&gt;$C$4,"Loopt niet in deze groep!",IF(COUNTIF(Table6[SNR],Table6[[#This Row],[SNR]])&gt;1,"Dubbel",""))</f>
        <v/>
      </c>
    </row>
    <row r="12" spans="1:17" x14ac:dyDescent="0.2">
      <c r="A12">
        <f>IFERROR(VLOOKUP(Table6[[#This Row],[SNR]],Deelnemers[#Data],2,0),"")</f>
        <v>184179</v>
      </c>
      <c r="B12">
        <f>IF(VLOOKUP(Table6[[#This Row],[SNR]],Deelnemers[#Data],8,0)&gt;0,"BM",IF(Table6[[#This Row],[Score]]="Disk",0,MATCH(Table6[[#This Row],[Sorteren]],Table6[Sorteren],0)-COUNTIF($B$7:$B11,"BM")))</f>
        <v>0</v>
      </c>
      <c r="D12" t="str">
        <f>IFERROR(VLOOKUP(Table6[[#This Row],[SNR]],Deelnemers[#Data],3,0),"")</f>
        <v>Melanie Freriksen</v>
      </c>
      <c r="E12" t="str">
        <f>IFERROR(VLOOKUP(Table6[[#This Row],[SNR]],Deelnemers[#Data],4,0),"")</f>
        <v>Happy</v>
      </c>
      <c r="F12" t="str">
        <f>IFERROR(VLOOKUP(Table6[[#This Row],[SNR]],Deelnemers[#Data],6,0),"")</f>
        <v>poedel</v>
      </c>
      <c r="G12" s="6">
        <v>106</v>
      </c>
      <c r="H12" s="6"/>
      <c r="I12" s="6"/>
      <c r="J12" s="6"/>
      <c r="K12" s="6"/>
      <c r="L12" s="6" t="s">
        <v>326</v>
      </c>
      <c r="M12" t="str">
        <f>IF(OR(ISNUMBER(SEARCH("Jumping", $C$5)),ISNUMBER(SEARCH("Vast Parcours", $C$5)), ISNUMBER(SEARCH("NKT", $C$5))),IF(OR(Table6[[#This Row],[Disk]]&gt;0,Table6[[#This Row],[W]]&gt;=3,Table6[[#This Row],[Tijd]]&gt;$F$3),"Disk",IF(ISBLANK(Table6[[#This Row],[Tijd]]),"",Table6[[#This Row],[Fouten]]+MAX(0,Table6[[#This Row],[Tijd]]-$F$2))),"-")</f>
        <v>Disk</v>
      </c>
      <c r="N12">
        <f>IFERROR(PRODUCT($F$4,1/Table6[[#This Row],[Tijd]]),0)</f>
        <v>0</v>
      </c>
      <c r="O12">
        <f>SUM(Table6[[#This Row],[W]],Table6[[#This Row],[A]],Table6[[#This Row],[F]])*5</f>
        <v>0</v>
      </c>
      <c r="P12" t="str">
        <f>TEXT(Table6[[#This Row],[Score]],"00,00")&amp;TEXT(Table6[[#This Row],[Fouten]],"00")&amp;TEXT(Table6[[#This Row],[Tijd]],"00,000")</f>
        <v>Disk0000,000</v>
      </c>
      <c r="Q12" t="str">
        <f>IF(IFERROR(VLOOKUP(Table6[[#This Row],[SNR]],Deelnemers[#Data],7,0),0)&lt;&gt;$C$4,"Loopt niet in deze groep!",IF(COUNTIF(Table6[SNR],Table6[[#This Row],[SNR]])&gt;1,"Dubbel",""))</f>
        <v/>
      </c>
    </row>
    <row r="13" spans="1:17" x14ac:dyDescent="0.2">
      <c r="A13">
        <f>IFERROR(VLOOKUP(Table6[[#This Row],[SNR]],Deelnemers[#Data],2,0),"")</f>
        <v>182710</v>
      </c>
      <c r="B13">
        <f>IF(VLOOKUP(Table6[[#This Row],[SNR]],Deelnemers[#Data],8,0)&gt;0,"BM",IF(Table6[[#This Row],[Score]]="Disk",0,MATCH(Table6[[#This Row],[Sorteren]],Table6[Sorteren],0)-COUNTIF($B$7:$B12,"BM")))</f>
        <v>0</v>
      </c>
      <c r="D13" t="str">
        <f>IFERROR(VLOOKUP(Table6[[#This Row],[SNR]],Deelnemers[#Data],3,0),"")</f>
        <v>Leida Beugels</v>
      </c>
      <c r="E13" t="str">
        <f>IFERROR(VLOOKUP(Table6[[#This Row],[SNR]],Deelnemers[#Data],4,0),"")</f>
        <v>Knut</v>
      </c>
      <c r="F13" t="str">
        <f>IFERROR(VLOOKUP(Table6[[#This Row],[SNR]],Deelnemers[#Data],6,0),"")</f>
        <v>kruising keeshond</v>
      </c>
      <c r="G13" s="6">
        <v>108</v>
      </c>
      <c r="H13" s="6"/>
      <c r="I13" s="6"/>
      <c r="J13" s="6"/>
      <c r="K13" s="6"/>
      <c r="L13" s="6" t="s">
        <v>326</v>
      </c>
      <c r="M13" t="str">
        <f>IF(OR(ISNUMBER(SEARCH("Jumping", $C$5)),ISNUMBER(SEARCH("Vast Parcours", $C$5)), ISNUMBER(SEARCH("NKT", $C$5))),IF(OR(Table6[[#This Row],[Disk]]&gt;0,Table6[[#This Row],[W]]&gt;=3,Table6[[#This Row],[Tijd]]&gt;$F$3),"Disk",IF(ISBLANK(Table6[[#This Row],[Tijd]]),"",Table6[[#This Row],[Fouten]]+MAX(0,Table6[[#This Row],[Tijd]]-$F$2))),"-")</f>
        <v>Disk</v>
      </c>
      <c r="N13">
        <f>IFERROR(PRODUCT($F$4,1/Table6[[#This Row],[Tijd]]),0)</f>
        <v>0</v>
      </c>
      <c r="O13">
        <f>SUM(Table6[[#This Row],[W]],Table6[[#This Row],[A]],Table6[[#This Row],[F]])*5</f>
        <v>0</v>
      </c>
      <c r="P13" t="str">
        <f>TEXT(Table6[[#This Row],[Score]],"00,00")&amp;TEXT(Table6[[#This Row],[Fouten]],"00")&amp;TEXT(Table6[[#This Row],[Tijd]],"00,000")</f>
        <v>Disk0000,000</v>
      </c>
      <c r="Q13" t="str">
        <f>IF(IFERROR(VLOOKUP(Table6[[#This Row],[SNR]],Deelnemers[#Data],7,0),0)&lt;&gt;$C$4,"Loopt niet in deze groep!",IF(COUNTIF(Table6[SNR],Table6[[#This Row],[SNR]])&gt;1,"Dubbel",""))</f>
        <v/>
      </c>
    </row>
    <row r="14" spans="1:17" x14ac:dyDescent="0.2">
      <c r="A14">
        <f>IFERROR(VLOOKUP(Table6[[#This Row],[SNR]],Deelnemers[#Data],2,0),"")</f>
        <v>170844</v>
      </c>
      <c r="B14">
        <f>IF(VLOOKUP(Table6[[#This Row],[SNR]],Deelnemers[#Data],8,0)&gt;0,"BM",IF(Table6[[#This Row],[Score]]="Disk",0,MATCH(Table6[[#This Row],[Sorteren]],Table6[Sorteren],0)-COUNTIF($B$7:$B13,"BM")))</f>
        <v>0</v>
      </c>
      <c r="D14" t="str">
        <f>IFERROR(VLOOKUP(Table6[[#This Row],[SNR]],Deelnemers[#Data],3,0),"")</f>
        <v>Tjeerd Langhout</v>
      </c>
      <c r="E14" t="str">
        <f>IFERROR(VLOOKUP(Table6[[#This Row],[SNR]],Deelnemers[#Data],4,0),"")</f>
        <v>Elwood</v>
      </c>
      <c r="F14" t="str">
        <f>IFERROR(VLOOKUP(Table6[[#This Row],[SNR]],Deelnemers[#Data],6,0),"")</f>
        <v>Beagle</v>
      </c>
      <c r="G14" s="6">
        <v>109</v>
      </c>
      <c r="H14" s="6"/>
      <c r="I14" s="6"/>
      <c r="J14" s="6"/>
      <c r="K14" s="6"/>
      <c r="L14" s="6" t="s">
        <v>326</v>
      </c>
      <c r="M14" t="str">
        <f>IF(OR(ISNUMBER(SEARCH("Jumping", $C$5)),ISNUMBER(SEARCH("Vast Parcours", $C$5)), ISNUMBER(SEARCH("NKT", $C$5))),IF(OR(Table6[[#This Row],[Disk]]&gt;0,Table6[[#This Row],[W]]&gt;=3,Table6[[#This Row],[Tijd]]&gt;$F$3),"Disk",IF(ISBLANK(Table6[[#This Row],[Tijd]]),"",Table6[[#This Row],[Fouten]]+MAX(0,Table6[[#This Row],[Tijd]]-$F$2))),"-")</f>
        <v>Disk</v>
      </c>
      <c r="N14">
        <f>IFERROR(PRODUCT($F$4,1/Table6[[#This Row],[Tijd]]),0)</f>
        <v>0</v>
      </c>
      <c r="O14">
        <f>SUM(Table6[[#This Row],[W]],Table6[[#This Row],[A]],Table6[[#This Row],[F]])*5</f>
        <v>0</v>
      </c>
      <c r="P14" t="str">
        <f>TEXT(Table6[[#This Row],[Score]],"00,00")&amp;TEXT(Table6[[#This Row],[Fouten]],"00")&amp;TEXT(Table6[[#This Row],[Tijd]],"00,000")</f>
        <v>Disk0000,000</v>
      </c>
      <c r="Q14" t="str">
        <f>IF(IFERROR(VLOOKUP(Table6[[#This Row],[SNR]],Deelnemers[#Data],7,0),0)&lt;&gt;$C$4,"Loopt niet in deze groep!",IF(COUNTIF(Table6[SNR],Table6[[#This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81" priority="2">
      <formula>LEN(TRIM(F1))=0</formula>
    </cfRule>
  </conditionalFormatting>
  <conditionalFormatting sqref="F2:F4">
    <cfRule type="containsBlanks" dxfId="180" priority="1">
      <formula>LEN(TRIM(F2))=0</formula>
    </cfRule>
  </conditionalFormatting>
  <dataValidations count="2">
    <dataValidation type="list" allowBlank="1" showInputMessage="1" showErrorMessage="1" sqref="C4" xr:uid="{00000000-0002-0000-0600-000000000000}">
      <formula1>GroepLijst</formula1>
    </dataValidation>
    <dataValidation type="list" allowBlank="1" showInputMessage="1" showErrorMessage="1" sqref="F1" xr:uid="{30C24DCE-BBA7-C148-B6AB-7F5FEB52F232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3"/>
  <sheetViews>
    <sheetView workbookViewId="0">
      <selection activeCell="F2" sqref="F2:F4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9">
        <v>54</v>
      </c>
      <c r="G2" t="s">
        <v>308</v>
      </c>
      <c r="H2" s="12" t="str">
        <f>$C$4</f>
        <v>1ᵉ graad Medium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9">
        <v>84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1</v>
      </c>
      <c r="D4" s="13"/>
      <c r="E4" t="s">
        <v>310</v>
      </c>
      <c r="F4" s="9">
        <v>168</v>
      </c>
      <c r="G4" t="s">
        <v>311</v>
      </c>
      <c r="H4" s="12" t="str">
        <f>$C$5</f>
        <v>Vast Parcours 2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325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IFERROR(VLOOKUP(Table7[[#This Row],[SNR]],Deelnemers[#Data],2,0),"")</f>
        <v>171212</v>
      </c>
      <c r="B8">
        <f>IF(VLOOKUP(Table7[[#This Row],[SNR]],Deelnemers[#Data],8,0)&gt;0,"BM",IF(Table7[[#This Row],[Score]]="Disk",0,MATCH(Table7[[#This Row],[Sorteren]],Table7[Sorteren],0)-COUNTIF($B$7:$B7,"BM")))</f>
        <v>1</v>
      </c>
      <c r="D8" t="str">
        <f>IFERROR(VLOOKUP(Table7[[#This Row],[SNR]],Deelnemers[#Data],3,0),"")</f>
        <v>Ilse Mouwen</v>
      </c>
      <c r="E8" t="str">
        <f>IFERROR(VLOOKUP(Table7[[#This Row],[SNR]],Deelnemers[#Data],4,0),"")</f>
        <v>Google</v>
      </c>
      <c r="F8" t="str">
        <f>IFERROR(VLOOKUP(Table7[[#This Row],[SNR]],Deelnemers[#Data],6,0),"")</f>
        <v>Shetland Sheepdog</v>
      </c>
      <c r="G8" s="9">
        <v>104</v>
      </c>
      <c r="H8" s="9">
        <v>57.72</v>
      </c>
      <c r="I8" s="9"/>
      <c r="J8" s="9"/>
      <c r="K8" s="9"/>
      <c r="L8" s="9"/>
      <c r="M8">
        <f>IF(OR(ISNUMBER(SEARCH("Jumping", $C$5)),ISNUMBER(SEARCH("Vast Parcours", $C$5)), ISNUMBER(SEARCH("NKT", $C$5))),IF(OR(Table7[[#This Row],[Disk]]&gt;0,Table7[[#This Row],[W]]&gt;=3,Table7[[#This Row],[Tijd]]&gt;$F$3),"Disk",IF(ISBLANK(Table7[[#This Row],[Tijd]]),"",Table7[[#This Row],[Fouten]]+MAX(0,Table7[[#This Row],[Tijd]]-$F$2))),"-")</f>
        <v>3.7199999999999989</v>
      </c>
      <c r="N8">
        <f>IFERROR(PRODUCT($F$4,1/Table7[[#This Row],[Tijd]]),0)</f>
        <v>2.9106029106029103</v>
      </c>
      <c r="O8">
        <f>SUM(Table7[[#This Row],[W]],Table7[[#This Row],[A]],Table7[[#This Row],[F]])*5</f>
        <v>0</v>
      </c>
      <c r="P8" t="str">
        <f>TEXT(Table7[[#This Row],[Score]],"00,00")&amp;TEXT(Table7[[#This Row],[Fouten]],"00")&amp;TEXT(Table7[[#This Row],[Tijd]],"00,000")</f>
        <v>03,720057,720</v>
      </c>
      <c r="Q8" t="str">
        <f>IF(IFERROR(VLOOKUP(Table7[[#This Row],[SNR]],Deelnemers[#Data],7,0),0)&lt;&gt;$C$4,"Loopt niet in deze groep!",IF(COUNTIF(Table7[SNR],Table7[[#This Row],[SNR]])&gt;1,"Dubbel",""))</f>
        <v/>
      </c>
    </row>
    <row r="9" spans="1:17" x14ac:dyDescent="0.2">
      <c r="A9">
        <f>IFERROR(VLOOKUP(Table7[[#This Row],[SNR]],Deelnemers[#Data],2,0),"")</f>
        <v>164704</v>
      </c>
      <c r="B9">
        <f>IF(VLOOKUP(Table7[[#This Row],[SNR]],Deelnemers[#Data],8,0)&gt;0,"BM",IF(Table7[[#This Row],[Score]]="Disk",0,MATCH(Table7[[#This Row],[Sorteren]],Table7[Sorteren],0)-COUNTIF($B$7:$B8,"BM")))</f>
        <v>2</v>
      </c>
      <c r="D9" t="str">
        <f>IFERROR(VLOOKUP(Table7[[#This Row],[SNR]],Deelnemers[#Data],3,0),"")</f>
        <v>Esther Booker</v>
      </c>
      <c r="E9" t="str">
        <f>IFERROR(VLOOKUP(Table7[[#This Row],[SNR]],Deelnemers[#Data],4,0),"")</f>
        <v>Ootje</v>
      </c>
      <c r="F9" t="str">
        <f>IFERROR(VLOOKUP(Table7[[#This Row],[SNR]],Deelnemers[#Data],6,0),"")</f>
        <v>Nova Scotia Duck Tolling Retriever</v>
      </c>
      <c r="G9" s="9">
        <v>107</v>
      </c>
      <c r="H9" s="9">
        <v>38.799999999999997</v>
      </c>
      <c r="I9" s="9">
        <v>1</v>
      </c>
      <c r="J9" s="9"/>
      <c r="K9" s="9"/>
      <c r="L9" s="9"/>
      <c r="M9">
        <f>IF(OR(ISNUMBER(SEARCH("Jumping", $C$5)),ISNUMBER(SEARCH("Vast Parcours", $C$5)), ISNUMBER(SEARCH("NKT", $C$5))),IF(OR(Table7[[#This Row],[Disk]]&gt;0,Table7[[#This Row],[W]]&gt;=3,Table7[[#This Row],[Tijd]]&gt;$F$3),"Disk",IF(ISBLANK(Table7[[#This Row],[Tijd]]),"",Table7[[#This Row],[Fouten]]+MAX(0,Table7[[#This Row],[Tijd]]-$F$2))),"-")</f>
        <v>5</v>
      </c>
      <c r="N9">
        <f>IFERROR(PRODUCT($F$4,1/Table7[[#This Row],[Tijd]]),0)</f>
        <v>4.3298969072164954</v>
      </c>
      <c r="O9">
        <f>SUM(Table7[[#This Row],[W]],Table7[[#This Row],[A]],Table7[[#This Row],[F]])*5</f>
        <v>5</v>
      </c>
      <c r="P9" t="str">
        <f>TEXT(Table7[[#This Row],[Score]],"00,00")&amp;TEXT(Table7[[#This Row],[Fouten]],"00")&amp;TEXT(Table7[[#This Row],[Tijd]],"00,000")</f>
        <v>05,000538,800</v>
      </c>
      <c r="Q9" t="str">
        <f>IF(IFERROR(VLOOKUP(Table7[[#This Row],[SNR]],Deelnemers[#Data],7,0),0)&lt;&gt;$C$4,"Loopt niet in deze groep!",IF(COUNTIF(Table7[SNR],Table7[[#This Row],[SNR]])&gt;1,"Dubbel",""))</f>
        <v/>
      </c>
    </row>
    <row r="10" spans="1:17" x14ac:dyDescent="0.2">
      <c r="A10">
        <f>IFERROR(VLOOKUP(Table7[[#This Row],[SNR]],Deelnemers[#Data],2,0),"")</f>
        <v>170844</v>
      </c>
      <c r="B10">
        <f>IF(VLOOKUP(Table7[[#This Row],[SNR]],Deelnemers[#Data],8,0)&gt;0,"BM",IF(Table7[[#This Row],[Score]]="Disk",0,MATCH(Table7[[#This Row],[Sorteren]],Table7[Sorteren],0)-COUNTIF($B$7:$B9,"BM")))</f>
        <v>3</v>
      </c>
      <c r="D10" t="str">
        <f>IFERROR(VLOOKUP(Table7[[#This Row],[SNR]],Deelnemers[#Data],3,0),"")</f>
        <v>Tjeerd Langhout</v>
      </c>
      <c r="E10" t="str">
        <f>IFERROR(VLOOKUP(Table7[[#This Row],[SNR]],Deelnemers[#Data],4,0),"")</f>
        <v>Elwood</v>
      </c>
      <c r="F10" t="str">
        <f>IFERROR(VLOOKUP(Table7[[#This Row],[SNR]],Deelnemers[#Data],6,0),"")</f>
        <v>Beagle</v>
      </c>
      <c r="G10" s="9">
        <v>109</v>
      </c>
      <c r="H10" s="9">
        <v>44.64</v>
      </c>
      <c r="I10" s="9">
        <v>1</v>
      </c>
      <c r="J10" s="9"/>
      <c r="K10" s="9">
        <v>1</v>
      </c>
      <c r="L10" s="9"/>
      <c r="M10">
        <f>IF(OR(ISNUMBER(SEARCH("Jumping", $C$5)),ISNUMBER(SEARCH("Vast Parcours", $C$5)), ISNUMBER(SEARCH("NKT", $C$5))),IF(OR(Table7[[#This Row],[Disk]]&gt;0,Table7[[#This Row],[W]]&gt;=3,Table7[[#This Row],[Tijd]]&gt;$F$3),"Disk",IF(ISBLANK(Table7[[#This Row],[Tijd]]),"",Table7[[#This Row],[Fouten]]+MAX(0,Table7[[#This Row],[Tijd]]-$F$2))),"-")</f>
        <v>10</v>
      </c>
      <c r="N10">
        <f>IFERROR(PRODUCT($F$4,1/Table7[[#This Row],[Tijd]]),0)</f>
        <v>3.7634408602150535</v>
      </c>
      <c r="O10">
        <f>SUM(Table7[[#This Row],[W]],Table7[[#This Row],[A]],Table7[[#This Row],[F]])*5</f>
        <v>10</v>
      </c>
      <c r="P10" t="str">
        <f>TEXT(Table7[[#This Row],[Score]],"00,00")&amp;TEXT(Table7[[#This Row],[Fouten]],"00")&amp;TEXT(Table7[[#This Row],[Tijd]],"00,000")</f>
        <v>10,001044,640</v>
      </c>
      <c r="Q10" t="str">
        <f>IF(IFERROR(VLOOKUP(Table7[[#This Row],[SNR]],Deelnemers[#Data],7,0),0)&lt;&gt;$C$4,"Loopt niet in deze groep!",IF(COUNTIF(Table7[SNR],Table7[[#This Row],[SNR]])&gt;1,"Dubbel",""))</f>
        <v/>
      </c>
    </row>
    <row r="11" spans="1:17" x14ac:dyDescent="0.2">
      <c r="A11">
        <f>IFERROR(VLOOKUP(Table7[[#This Row],[SNR]],Deelnemers[#Data],2,0),"")</f>
        <v>184225</v>
      </c>
      <c r="B11">
        <f>IF(VLOOKUP(Table7[[#This Row],[SNR]],Deelnemers[#Data],8,0)&gt;0,"BM",IF(Table7[[#This Row],[Score]]="Disk",0,MATCH(Table7[[#This Row],[Sorteren]],Table7[Sorteren],0)-COUNTIF($B$7:$B10,"BM")))</f>
        <v>0</v>
      </c>
      <c r="D11" t="str">
        <f>IFERROR(VLOOKUP(Table7[[#This Row],[SNR]],Deelnemers[#Data],3,0),"")</f>
        <v>Sanne Graafstra</v>
      </c>
      <c r="E11" t="str">
        <f>IFERROR(VLOOKUP(Table7[[#This Row],[SNR]],Deelnemers[#Data],4,0),"")</f>
        <v>Sky</v>
      </c>
      <c r="F11" t="str">
        <f>IFERROR(VLOOKUP(Table7[[#This Row],[SNR]],Deelnemers[#Data],6,0),"")</f>
        <v>Shetland Sheepdog</v>
      </c>
      <c r="G11">
        <v>103</v>
      </c>
      <c r="L11" t="s">
        <v>326</v>
      </c>
      <c r="M11" t="str">
        <f>IF(OR(ISNUMBER(SEARCH("Jumping", $C$5)),ISNUMBER(SEARCH("Vast Parcours", $C$5)), ISNUMBER(SEARCH("NKT", $C$5))),IF(OR(Table7[[#This Row],[Disk]]&gt;0,Table7[[#This Row],[W]]&gt;=3,Table7[[#This Row],[Tijd]]&gt;$F$3),"Disk",IF(ISBLANK(Table7[[#This Row],[Tijd]]),"",Table7[[#This Row],[Fouten]]+MAX(0,Table7[[#This Row],[Tijd]]-$F$2))),"-")</f>
        <v>Disk</v>
      </c>
      <c r="N11">
        <f>IFERROR(PRODUCT($F$4,1/Table7[[#This Row],[Tijd]]),0)</f>
        <v>0</v>
      </c>
      <c r="O11">
        <f>SUM(Table7[[#This Row],[W]],Table7[[#This Row],[A]],Table7[[#This Row],[F]])*5</f>
        <v>0</v>
      </c>
      <c r="P11" t="str">
        <f>TEXT(Table7[[#This Row],[Score]],"00,00")&amp;TEXT(Table7[[#This Row],[Fouten]],"00")&amp;TEXT(Table7[[#This Row],[Tijd]],"00,000")</f>
        <v>Disk0000,000</v>
      </c>
      <c r="Q11" t="str">
        <f>IF(IFERROR(VLOOKUP(Table7[[#This Row],[SNR]],Deelnemers[#Data],7,0),0)&lt;&gt;$C$4,"Loopt niet in deze groep!",IF(COUNTIF(Table7[SNR],Table7[[#This Row],[SNR]])&gt;1,"Dubbel",""))</f>
        <v/>
      </c>
    </row>
    <row r="12" spans="1:17" x14ac:dyDescent="0.2">
      <c r="A12">
        <f>IFERROR(VLOOKUP(Table7[[#This Row],[SNR]],Deelnemers[#Data],2,0),"")</f>
        <v>174068</v>
      </c>
      <c r="B12">
        <f>IF(VLOOKUP(Table7[[#This Row],[SNR]],Deelnemers[#Data],8,0)&gt;0,"BM",IF(Table7[[#This Row],[Score]]="Disk",0,MATCH(Table7[[#This Row],[Sorteren]],Table7[Sorteren],0)-COUNTIF($B$7:$B11,"BM")))</f>
        <v>0</v>
      </c>
      <c r="D12" t="str">
        <f>IFERROR(VLOOKUP(Table7[[#This Row],[SNR]],Deelnemers[#Data],3,0),"")</f>
        <v>Aaltje Gorter</v>
      </c>
      <c r="E12" t="str">
        <f>IFERROR(VLOOKUP(Table7[[#This Row],[SNR]],Deelnemers[#Data],4,0),"")</f>
        <v>Daisy</v>
      </c>
      <c r="F12" t="str">
        <f>IFERROR(VLOOKUP(Table7[[#This Row],[SNR]],Deelnemers[#Data],6,0),"")</f>
        <v>Shetland Sheepdog</v>
      </c>
      <c r="G12" s="9">
        <v>105</v>
      </c>
      <c r="H12" s="9"/>
      <c r="I12" s="9"/>
      <c r="J12" s="9"/>
      <c r="K12" s="9"/>
      <c r="L12" s="9" t="s">
        <v>326</v>
      </c>
      <c r="M12" t="str">
        <f>IF(OR(ISNUMBER(SEARCH("Jumping", $C$5)),ISNUMBER(SEARCH("Vast Parcours", $C$5)), ISNUMBER(SEARCH("NKT", $C$5))),IF(OR(Table7[[#This Row],[Disk]]&gt;0,Table7[[#This Row],[W]]&gt;=3,Table7[[#This Row],[Tijd]]&gt;$F$3),"Disk",IF(ISBLANK(Table7[[#This Row],[Tijd]]),"",Table7[[#This Row],[Fouten]]+MAX(0,Table7[[#This Row],[Tijd]]-$F$2))),"-")</f>
        <v>Disk</v>
      </c>
      <c r="N12">
        <f>IFERROR(PRODUCT($F$4,1/Table7[[#This Row],[Tijd]]),0)</f>
        <v>0</v>
      </c>
      <c r="O12">
        <f>SUM(Table7[[#This Row],[W]],Table7[[#This Row],[A]],Table7[[#This Row],[F]])*5</f>
        <v>0</v>
      </c>
      <c r="P12" t="str">
        <f>TEXT(Table7[[#This Row],[Score]],"00,00")&amp;TEXT(Table7[[#This Row],[Fouten]],"00")&amp;TEXT(Table7[[#This Row],[Tijd]],"00,000")</f>
        <v>Disk0000,000</v>
      </c>
      <c r="Q12" t="str">
        <f>IF(IFERROR(VLOOKUP(Table7[[#This Row],[SNR]],Deelnemers[#Data],7,0),0)&lt;&gt;$C$4,"Loopt niet in deze groep!",IF(COUNTIF(Table7[SNR],Table7[[#This Row],[SNR]])&gt;1,"Dubbel",""))</f>
        <v/>
      </c>
    </row>
    <row r="13" spans="1:17" x14ac:dyDescent="0.2">
      <c r="A13">
        <f>IFERROR(VLOOKUP(Table7[[#This Row],[SNR]],Deelnemers[#Data],2,0),"")</f>
        <v>184179</v>
      </c>
      <c r="B13">
        <f>IF(VLOOKUP(Table7[[#This Row],[SNR]],Deelnemers[#Data],8,0)&gt;0,"BM",IF(Table7[[#This Row],[Score]]="Disk",0,MATCH(Table7[[#This Row],[Sorteren]],Table7[Sorteren],0)-COUNTIF($B$7:$B12,"BM")))</f>
        <v>0</v>
      </c>
      <c r="D13" t="str">
        <f>IFERROR(VLOOKUP(Table7[[#This Row],[SNR]],Deelnemers[#Data],3,0),"")</f>
        <v>Melanie Freriksen</v>
      </c>
      <c r="E13" t="str">
        <f>IFERROR(VLOOKUP(Table7[[#This Row],[SNR]],Deelnemers[#Data],4,0),"")</f>
        <v>Happy</v>
      </c>
      <c r="F13" t="str">
        <f>IFERROR(VLOOKUP(Table7[[#This Row],[SNR]],Deelnemers[#Data],6,0),"")</f>
        <v>poedel</v>
      </c>
      <c r="G13" s="9">
        <v>106</v>
      </c>
      <c r="H13" s="9"/>
      <c r="I13" s="9"/>
      <c r="J13" s="9"/>
      <c r="K13" s="9"/>
      <c r="L13" s="9" t="s">
        <v>326</v>
      </c>
      <c r="M13" t="str">
        <f>IF(OR(ISNUMBER(SEARCH("Jumping", $C$5)),ISNUMBER(SEARCH("Vast Parcours", $C$5)), ISNUMBER(SEARCH("NKT", $C$5))),IF(OR(Table7[[#This Row],[Disk]]&gt;0,Table7[[#This Row],[W]]&gt;=3,Table7[[#This Row],[Tijd]]&gt;$F$3),"Disk",IF(ISBLANK(Table7[[#This Row],[Tijd]]),"",Table7[[#This Row],[Fouten]]+MAX(0,Table7[[#This Row],[Tijd]]-$F$2))),"-")</f>
        <v>Disk</v>
      </c>
      <c r="N13">
        <f>IFERROR(PRODUCT($F$4,1/Table7[[#This Row],[Tijd]]),0)</f>
        <v>0</v>
      </c>
      <c r="O13">
        <f>SUM(Table7[[#This Row],[W]],Table7[[#This Row],[A]],Table7[[#This Row],[F]])*5</f>
        <v>0</v>
      </c>
      <c r="P13" t="str">
        <f>TEXT(Table7[[#This Row],[Score]],"00,00")&amp;TEXT(Table7[[#This Row],[Fouten]],"00")&amp;TEXT(Table7[[#This Row],[Tijd]],"00,000")</f>
        <v>Disk0000,000</v>
      </c>
      <c r="Q13" t="str">
        <f>IF(IFERROR(VLOOKUP(Table7[[#This Row],[SNR]],Deelnemers[#Data],7,0),0)&lt;&gt;$C$4,"Loopt niet in deze groep!",IF(COUNTIF(Table7[SNR],Table7[[#This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73" priority="2">
      <formula>LEN(TRIM(F1))=0</formula>
    </cfRule>
  </conditionalFormatting>
  <conditionalFormatting sqref="F2:F4">
    <cfRule type="containsBlanks" dxfId="172" priority="1">
      <formula>LEN(TRIM(F2))=0</formula>
    </cfRule>
  </conditionalFormatting>
  <dataValidations count="2">
    <dataValidation type="list" allowBlank="1" showInputMessage="1" showErrorMessage="1" sqref="C4" xr:uid="{00000000-0002-0000-0700-000000000000}">
      <formula1>GroepLijst</formula1>
    </dataValidation>
    <dataValidation type="list" allowBlank="1" showInputMessage="1" showErrorMessage="1" sqref="F1" xr:uid="{2D69FB9A-8A3D-204A-9CA5-202AA5B446A2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6"/>
  <sheetViews>
    <sheetView tabSelected="1" workbookViewId="0">
      <selection activeCell="H23" sqref="H23"/>
    </sheetView>
  </sheetViews>
  <sheetFormatPr baseColWidth="10" defaultColWidth="8.83203125" defaultRowHeight="15" x14ac:dyDescent="0.2"/>
  <cols>
    <col min="1" max="2" width="8.6640625" customWidth="1"/>
    <col min="3" max="3" width="5.6640625" customWidth="1"/>
    <col min="4" max="4" width="25.6640625" customWidth="1"/>
    <col min="5" max="5" width="20.6640625" customWidth="1"/>
    <col min="6" max="6" width="30.6640625" customWidth="1"/>
    <col min="7" max="7" width="5.6640625" customWidth="1"/>
    <col min="8" max="8" width="8.6640625" customWidth="1"/>
    <col min="9" max="11" width="4.6640625" customWidth="1"/>
    <col min="12" max="12" width="6.6640625" customWidth="1"/>
    <col min="13" max="15" width="8.6640625" customWidth="1"/>
    <col min="16" max="16" width="15.6640625" customWidth="1"/>
    <col min="17" max="17" width="25.6640625" customWidth="1"/>
  </cols>
  <sheetData>
    <row r="1" spans="1:17" x14ac:dyDescent="0.2">
      <c r="B1" t="s">
        <v>299</v>
      </c>
      <c r="C1" s="13" t="s">
        <v>300</v>
      </c>
      <c r="D1" s="13"/>
      <c r="E1" t="s">
        <v>306</v>
      </c>
      <c r="F1" s="3" t="s">
        <v>35</v>
      </c>
    </row>
    <row r="2" spans="1:17" x14ac:dyDescent="0.2">
      <c r="B2" t="s">
        <v>301</v>
      </c>
      <c r="C2" s="13" t="s">
        <v>302</v>
      </c>
      <c r="D2" s="13"/>
      <c r="E2" t="s">
        <v>307</v>
      </c>
      <c r="F2" s="11">
        <v>42</v>
      </c>
      <c r="G2" t="s">
        <v>308</v>
      </c>
      <c r="H2" s="12" t="str">
        <f>$C$4</f>
        <v>1ᵉ graad Small</v>
      </c>
      <c r="I2" s="12"/>
      <c r="J2" s="12"/>
      <c r="K2" s="12"/>
      <c r="L2" s="12"/>
      <c r="M2" s="12"/>
      <c r="N2" s="12"/>
    </row>
    <row r="3" spans="1:17" x14ac:dyDescent="0.2">
      <c r="B3" t="s">
        <v>303</v>
      </c>
      <c r="C3" s="14">
        <v>43492</v>
      </c>
      <c r="D3" s="14"/>
      <c r="E3" t="s">
        <v>309</v>
      </c>
      <c r="F3" s="11">
        <v>64</v>
      </c>
      <c r="G3" t="s">
        <v>308</v>
      </c>
      <c r="H3" s="12"/>
      <c r="I3" s="12"/>
      <c r="J3" s="12"/>
      <c r="K3" s="12"/>
      <c r="L3" s="12"/>
      <c r="M3" s="12"/>
      <c r="N3" s="12"/>
    </row>
    <row r="4" spans="1:17" x14ac:dyDescent="0.2">
      <c r="B4" t="s">
        <v>58</v>
      </c>
      <c r="C4" s="13" t="s">
        <v>2</v>
      </c>
      <c r="D4" s="13"/>
      <c r="E4" t="s">
        <v>310</v>
      </c>
      <c r="F4" s="11">
        <v>141</v>
      </c>
      <c r="G4" t="s">
        <v>311</v>
      </c>
      <c r="H4" s="12" t="str">
        <f>$C$5</f>
        <v>Jumping</v>
      </c>
      <c r="I4" s="12"/>
      <c r="J4" s="12"/>
      <c r="K4" s="12"/>
      <c r="L4" s="12"/>
      <c r="M4" s="12"/>
      <c r="N4" s="12"/>
    </row>
    <row r="5" spans="1:17" x14ac:dyDescent="0.2">
      <c r="B5" t="s">
        <v>304</v>
      </c>
      <c r="C5" s="13" t="s">
        <v>305</v>
      </c>
      <c r="D5" s="13"/>
      <c r="H5" s="12"/>
      <c r="I5" s="12"/>
      <c r="J5" s="12"/>
      <c r="K5" s="12"/>
      <c r="L5" s="12"/>
      <c r="M5" s="12"/>
      <c r="N5" s="12"/>
    </row>
    <row r="7" spans="1:17" x14ac:dyDescent="0.2">
      <c r="A7" t="s">
        <v>53</v>
      </c>
      <c r="B7" t="s">
        <v>312</v>
      </c>
      <c r="C7" t="s">
        <v>313</v>
      </c>
      <c r="D7" t="s">
        <v>54</v>
      </c>
      <c r="E7" t="s">
        <v>55</v>
      </c>
      <c r="F7" t="s">
        <v>57</v>
      </c>
      <c r="G7" t="s">
        <v>52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N7" t="s">
        <v>320</v>
      </c>
      <c r="O7" t="s">
        <v>321</v>
      </c>
      <c r="P7" t="s">
        <v>322</v>
      </c>
      <c r="Q7" t="s">
        <v>323</v>
      </c>
    </row>
    <row r="8" spans="1:17" x14ac:dyDescent="0.2">
      <c r="A8">
        <f>IFERROR(VLOOKUP(Table8[[#This Row],[SNR]],Deelnemers[#Data],2,0),"")</f>
        <v>182257</v>
      </c>
      <c r="B8">
        <f>IF(VLOOKUP(Table8[[#This Row],[SNR]],Deelnemers[#Data],8,0)&gt;0,"BM",IF(Table8[[#This Row],[Score]]="Disk",0,MATCH(Table8[[#This Row],[Sorteren]],Table8[Sorteren],0)-COUNTIF($B$7:$B7,"BM")))</f>
        <v>1</v>
      </c>
      <c r="D8" t="str">
        <f>IFERROR(VLOOKUP(Table8[[#This Row],[SNR]],Deelnemers[#Data],3,0),"")</f>
        <v>Claudia Engelen</v>
      </c>
      <c r="E8" t="str">
        <f>IFERROR(VLOOKUP(Table8[[#This Row],[SNR]],Deelnemers[#Data],4,0),"")</f>
        <v>Sep</v>
      </c>
      <c r="F8" t="str">
        <f>IFERROR(VLOOKUP(Table8[[#This Row],[SNR]],Deelnemers[#Data],6,0),"")</f>
        <v>dwergpoedel</v>
      </c>
      <c r="G8" s="11">
        <v>120</v>
      </c>
      <c r="H8" s="11">
        <v>33.36</v>
      </c>
      <c r="I8" s="11"/>
      <c r="J8" s="11"/>
      <c r="K8" s="11"/>
      <c r="L8" s="11"/>
      <c r="M8">
        <f>IF(OR(ISNUMBER(SEARCH("Jumping", $C$5)),ISNUMBER(SEARCH("Vast Parcours", $C$5)), ISNUMBER(SEARCH("NKT", $C$5))),IF(OR(Table8[[#This Row],[Disk]]&gt;0,Table8[[#This Row],[W]]&gt;=3,Table8[[#This Row],[Tijd]]&gt;$F$3),"Disk",IF(ISBLANK(Table8[[#This Row],[Tijd]]),"",Table8[[#This Row],[Fouten]]+MAX(0,Table8[[#This Row],[Tijd]]-$F$2))),"-")</f>
        <v>0</v>
      </c>
      <c r="N8">
        <f>IFERROR(PRODUCT($F$4,1/Table8[[#This Row],[Tijd]]),0)</f>
        <v>4.2266187050359711</v>
      </c>
      <c r="O8">
        <f>SUM(Table8[[#This Row],[W]],Table8[[#This Row],[A]],Table8[[#This Row],[F]])*5</f>
        <v>0</v>
      </c>
      <c r="P8" t="str">
        <f>TEXT(Table8[[#This Row],[Score]],"00,00")&amp;TEXT(Table8[[#This Row],[Fouten]],"00")&amp;TEXT(Table8[[#This Row],[Tijd]],"00,000")</f>
        <v>00,000033,360</v>
      </c>
      <c r="Q8" t="str">
        <f>IF(IFERROR(VLOOKUP(Table8[[#This Row],[SNR]],Deelnemers[#Data],7,0),0)&lt;&gt;$C$4,"Loopt niet in deze groep!",IF(COUNTIF(Table8[SNR],Table8[[#This Row],[SNR]])&gt;1,"Dubbel",""))</f>
        <v/>
      </c>
    </row>
    <row r="9" spans="1:17" x14ac:dyDescent="0.2">
      <c r="A9">
        <f>IFERROR(VLOOKUP(Table8[[#This Row],[SNR]],Deelnemers[#Data],2,0),"")</f>
        <v>176990</v>
      </c>
      <c r="B9">
        <f>IF(VLOOKUP(Table8[[#This Row],[SNR]],Deelnemers[#Data],8,0)&gt;0,"BM",IF(Table8[[#This Row],[Score]]="Disk",0,MATCH(Table8[[#This Row],[Sorteren]],Table8[Sorteren],0)-COUNTIF($B$7:$B8,"BM")))</f>
        <v>2</v>
      </c>
      <c r="D9" t="str">
        <f>IFERROR(VLOOKUP(Table8[[#This Row],[SNR]],Deelnemers[#Data],3,0),"")</f>
        <v>Gerda Bleeker-Korte</v>
      </c>
      <c r="E9" t="str">
        <f>IFERROR(VLOOKUP(Table8[[#This Row],[SNR]],Deelnemers[#Data],4,0),"")</f>
        <v>Maisy</v>
      </c>
      <c r="F9" t="str">
        <f>IFERROR(VLOOKUP(Table8[[#This Row],[SNR]],Deelnemers[#Data],6,0),"")</f>
        <v>Shetland Sheepdog</v>
      </c>
      <c r="G9" s="11">
        <v>111</v>
      </c>
      <c r="H9" s="11">
        <v>35.07</v>
      </c>
      <c r="I9" s="11"/>
      <c r="J9" s="11"/>
      <c r="K9" s="11"/>
      <c r="L9" s="11"/>
      <c r="M9">
        <f>IF(OR(ISNUMBER(SEARCH("Jumping", $C$5)),ISNUMBER(SEARCH("Vast Parcours", $C$5)), ISNUMBER(SEARCH("NKT", $C$5))),IF(OR(Table8[[#This Row],[Disk]]&gt;0,Table8[[#This Row],[W]]&gt;=3,Table8[[#This Row],[Tijd]]&gt;$F$3),"Disk",IF(ISBLANK(Table8[[#This Row],[Tijd]]),"",Table8[[#This Row],[Fouten]]+MAX(0,Table8[[#This Row],[Tijd]]-$F$2))),"-")</f>
        <v>0</v>
      </c>
      <c r="N9">
        <f>IFERROR(PRODUCT($F$4,1/Table8[[#This Row],[Tijd]]),0)</f>
        <v>4.0205303678357573</v>
      </c>
      <c r="O9">
        <f>SUM(Table8[[#This Row],[W]],Table8[[#This Row],[A]],Table8[[#This Row],[F]])*5</f>
        <v>0</v>
      </c>
      <c r="P9" t="str">
        <f>TEXT(Table8[[#This Row],[Score]],"00,00")&amp;TEXT(Table8[[#This Row],[Fouten]],"00")&amp;TEXT(Table8[[#This Row],[Tijd]],"00,000")</f>
        <v>00,000035,070</v>
      </c>
      <c r="Q9" t="str">
        <f>IF(IFERROR(VLOOKUP(Table8[[#This Row],[SNR]],Deelnemers[#Data],7,0),0)&lt;&gt;$C$4,"Loopt niet in deze groep!",IF(COUNTIF(Table8[SNR],Table8[[#This Row],[SNR]])&gt;1,"Dubbel",""))</f>
        <v/>
      </c>
    </row>
    <row r="10" spans="1:17" x14ac:dyDescent="0.2">
      <c r="A10">
        <f>IFERROR(VLOOKUP(Table8[[#This Row],[SNR]],Deelnemers[#Data],2,0),"")</f>
        <v>184101</v>
      </c>
      <c r="B10">
        <f>IF(VLOOKUP(Table8[[#This Row],[SNR]],Deelnemers[#Data],8,0)&gt;0,"BM",IF(Table8[[#This Row],[Score]]="Disk",0,MATCH(Table8[[#This Row],[Sorteren]],Table8[Sorteren],0)-COUNTIF($B$7:$B9,"BM")))</f>
        <v>3</v>
      </c>
      <c r="D10" t="str">
        <f>IFERROR(VLOOKUP(Table8[[#This Row],[SNR]],Deelnemers[#Data],3,0),"")</f>
        <v>Jan Knol</v>
      </c>
      <c r="E10" t="str">
        <f>IFERROR(VLOOKUP(Table8[[#This Row],[SNR]],Deelnemers[#Data],4,0),"")</f>
        <v>Kenzo</v>
      </c>
      <c r="F10" t="str">
        <f>IFERROR(VLOOKUP(Table8[[#This Row],[SNR]],Deelnemers[#Data],6,0),"")</f>
        <v>Cavalier King Charles Spaniël</v>
      </c>
      <c r="G10" s="11">
        <v>118</v>
      </c>
      <c r="H10" s="11">
        <v>38.840000000000003</v>
      </c>
      <c r="I10" s="11"/>
      <c r="J10" s="11"/>
      <c r="K10" s="11"/>
      <c r="L10" s="11"/>
      <c r="M10">
        <f>IF(OR(ISNUMBER(SEARCH("Jumping", $C$5)),ISNUMBER(SEARCH("Vast Parcours", $C$5)), ISNUMBER(SEARCH("NKT", $C$5))),IF(OR(Table8[[#This Row],[Disk]]&gt;0,Table8[[#This Row],[W]]&gt;=3,Table8[[#This Row],[Tijd]]&gt;$F$3),"Disk",IF(ISBLANK(Table8[[#This Row],[Tijd]]),"",Table8[[#This Row],[Fouten]]+MAX(0,Table8[[#This Row],[Tijd]]-$F$2))),"-")</f>
        <v>0</v>
      </c>
      <c r="N10">
        <f>IFERROR(PRODUCT($F$4,1/Table8[[#This Row],[Tijd]]),0)</f>
        <v>3.6302780638516992</v>
      </c>
      <c r="O10">
        <f>SUM(Table8[[#This Row],[W]],Table8[[#This Row],[A]],Table8[[#This Row],[F]])*5</f>
        <v>0</v>
      </c>
      <c r="P10" t="str">
        <f>TEXT(Table8[[#This Row],[Score]],"00,00")&amp;TEXT(Table8[[#This Row],[Fouten]],"00")&amp;TEXT(Table8[[#This Row],[Tijd]],"00,000")</f>
        <v>00,000038,840</v>
      </c>
      <c r="Q10" t="str">
        <f>IF(IFERROR(VLOOKUP(Table8[[#This Row],[SNR]],Deelnemers[#Data],7,0),0)&lt;&gt;$C$4,"Loopt niet in deze groep!",IF(COUNTIF(Table8[SNR],Table8[[#This Row],[SNR]])&gt;1,"Dubbel",""))</f>
        <v/>
      </c>
    </row>
    <row r="11" spans="1:17" x14ac:dyDescent="0.2">
      <c r="A11">
        <f>IFERROR(VLOOKUP(Table8[[#This Row],[SNR]],Deelnemers[#Data],2,0),"")</f>
        <v>184314</v>
      </c>
      <c r="B11">
        <f>IF(VLOOKUP(Table8[[#This Row],[SNR]],Deelnemers[#Data],8,0)&gt;0,"BM",IF(Table8[[#This Row],[Score]]="Disk",0,MATCH(Table8[[#This Row],[Sorteren]],Table8[Sorteren],0)-COUNTIF($B$7:$B10,"BM")))</f>
        <v>4</v>
      </c>
      <c r="D11" t="str">
        <f>IFERROR(VLOOKUP(Table8[[#This Row],[SNR]],Deelnemers[#Data],3,0),"")</f>
        <v>Marjanna Bremer</v>
      </c>
      <c r="E11" t="str">
        <f>IFERROR(VLOOKUP(Table8[[#This Row],[SNR]],Deelnemers[#Data],4,0),"")</f>
        <v>Fizzjuh</v>
      </c>
      <c r="F11" t="str">
        <f>IFERROR(VLOOKUP(Table8[[#This Row],[SNR]],Deelnemers[#Data],6,0),"")</f>
        <v>chihuahua mix</v>
      </c>
      <c r="G11" s="11">
        <v>117</v>
      </c>
      <c r="H11" s="11">
        <v>50.95</v>
      </c>
      <c r="I11" s="11">
        <v>1</v>
      </c>
      <c r="J11" s="11"/>
      <c r="K11" s="11"/>
      <c r="L11" s="11"/>
      <c r="M11">
        <f>IF(OR(ISNUMBER(SEARCH("Jumping", $C$5)),ISNUMBER(SEARCH("Vast Parcours", $C$5)), ISNUMBER(SEARCH("NKT", $C$5))),IF(OR(Table8[[#This Row],[Disk]]&gt;0,Table8[[#This Row],[W]]&gt;=3,Table8[[#This Row],[Tijd]]&gt;$F$3),"Disk",IF(ISBLANK(Table8[[#This Row],[Tijd]]),"",Table8[[#This Row],[Fouten]]+MAX(0,Table8[[#This Row],[Tijd]]-$F$2))),"-")</f>
        <v>13.950000000000003</v>
      </c>
      <c r="N11">
        <f>IFERROR(PRODUCT($F$4,1/Table8[[#This Row],[Tijd]]),0)</f>
        <v>2.7674190382728163</v>
      </c>
      <c r="O11">
        <f>SUM(Table8[[#This Row],[W]],Table8[[#This Row],[A]],Table8[[#This Row],[F]])*5</f>
        <v>5</v>
      </c>
      <c r="P11" t="str">
        <f>TEXT(Table8[[#This Row],[Score]],"00,00")&amp;TEXT(Table8[[#This Row],[Fouten]],"00")&amp;TEXT(Table8[[#This Row],[Tijd]],"00,000")</f>
        <v>13,950550,950</v>
      </c>
      <c r="Q11" t="str">
        <f>IF(IFERROR(VLOOKUP(Table8[[#This Row],[SNR]],Deelnemers[#Data],7,0),0)&lt;&gt;$C$4,"Loopt niet in deze groep!",IF(COUNTIF(Table8[SNR],Table8[[#This Row],[SNR]])&gt;1,"Dubbel",""))</f>
        <v/>
      </c>
    </row>
    <row r="12" spans="1:17" x14ac:dyDescent="0.2">
      <c r="A12">
        <f>IFERROR(VLOOKUP(Table8[[#This Row],[SNR]],Deelnemers[#Data],2,0),"")</f>
        <v>180580</v>
      </c>
      <c r="B12">
        <f>IF(VLOOKUP(Table8[[#This Row],[SNR]],Deelnemers[#Data],8,0)&gt;0,"BM",IF(Table8[[#This Row],[Score]]="Disk",0,MATCH(Table8[[#This Row],[Sorteren]],Table8[Sorteren],0)-COUNTIF($B$7:$B11,"BM")))</f>
        <v>5</v>
      </c>
      <c r="D12" t="str">
        <f>IFERROR(VLOOKUP(Table8[[#This Row],[SNR]],Deelnemers[#Data],3,0),"")</f>
        <v>Rosanne Wemerman</v>
      </c>
      <c r="E12" t="str">
        <f>IFERROR(VLOOKUP(Table8[[#This Row],[SNR]],Deelnemers[#Data],4,0),"")</f>
        <v>Quincy</v>
      </c>
      <c r="F12" t="str">
        <f>IFERROR(VLOOKUP(Table8[[#This Row],[SNR]],Deelnemers[#Data],6,0),"")</f>
        <v>kruising dwergkees chihuahua</v>
      </c>
      <c r="G12" s="11">
        <v>115</v>
      </c>
      <c r="H12" s="11">
        <v>52.12</v>
      </c>
      <c r="I12" s="11">
        <v>2</v>
      </c>
      <c r="J12" s="11"/>
      <c r="K12" s="11"/>
      <c r="L12" s="11"/>
      <c r="M12">
        <f>IF(OR(ISNUMBER(SEARCH("Jumping", $C$5)),ISNUMBER(SEARCH("Vast Parcours", $C$5)), ISNUMBER(SEARCH("NKT", $C$5))),IF(OR(Table8[[#This Row],[Disk]]&gt;0,Table8[[#This Row],[W]]&gt;=3,Table8[[#This Row],[Tijd]]&gt;$F$3),"Disk",IF(ISBLANK(Table8[[#This Row],[Tijd]]),"",Table8[[#This Row],[Fouten]]+MAX(0,Table8[[#This Row],[Tijd]]-$F$2))),"-")</f>
        <v>20.119999999999997</v>
      </c>
      <c r="N12">
        <f>IFERROR(PRODUCT($F$4,1/Table8[[#This Row],[Tijd]]),0)</f>
        <v>2.7052954719877209</v>
      </c>
      <c r="O12">
        <f>SUM(Table8[[#This Row],[W]],Table8[[#This Row],[A]],Table8[[#This Row],[F]])*5</f>
        <v>10</v>
      </c>
      <c r="P12" t="str">
        <f>TEXT(Table8[[#This Row],[Score]],"00,00")&amp;TEXT(Table8[[#This Row],[Fouten]],"00")&amp;TEXT(Table8[[#This Row],[Tijd]],"00,000")</f>
        <v>20,121052,120</v>
      </c>
      <c r="Q12" t="str">
        <f>IF(IFERROR(VLOOKUP(Table8[[#This Row],[SNR]],Deelnemers[#Data],7,0),0)&lt;&gt;$C$4,"Loopt niet in deze groep!",IF(COUNTIF(Table8[SNR],Table8[[#This Row],[SNR]])&gt;1,"Dubbel",""))</f>
        <v/>
      </c>
    </row>
    <row r="13" spans="1:17" x14ac:dyDescent="0.2">
      <c r="A13">
        <f>IFERROR(VLOOKUP(Table8[[#This Row],[SNR]],Deelnemers[#Data],2,0),"")</f>
        <v>183210</v>
      </c>
      <c r="B13">
        <f>IF(VLOOKUP(Table8[[#This Row],[SNR]],Deelnemers[#Data],8,0)&gt;0,"BM",IF(Table8[[#This Row],[Score]]="Disk",0,MATCH(Table8[[#This Row],[Sorteren]],Table8[Sorteren],0)-COUNTIF($B$7:$B12,"BM")))</f>
        <v>0</v>
      </c>
      <c r="D13" t="str">
        <f>IFERROR(VLOOKUP(Table8[[#This Row],[SNR]],Deelnemers[#Data],3,0),"")</f>
        <v>Nicky Spengler</v>
      </c>
      <c r="E13" t="str">
        <f>IFERROR(VLOOKUP(Table8[[#This Row],[SNR]],Deelnemers[#Data],4,0),"")</f>
        <v>Jacey</v>
      </c>
      <c r="F13" t="str">
        <f>IFERROR(VLOOKUP(Table8[[#This Row],[SNR]],Deelnemers[#Data],6,0),"")</f>
        <v>Shetland Sheepdog</v>
      </c>
      <c r="G13">
        <v>110</v>
      </c>
      <c r="L13" t="s">
        <v>326</v>
      </c>
      <c r="M13" t="str">
        <f>IF(OR(ISNUMBER(SEARCH("Jumping", $C$5)),ISNUMBER(SEARCH("Vast Parcours", $C$5)), ISNUMBER(SEARCH("NKT", $C$5))),IF(OR(Table8[[#This Row],[Disk]]&gt;0,Table8[[#This Row],[W]]&gt;=3,Table8[[#This Row],[Tijd]]&gt;$F$3),"Disk",IF(ISBLANK(Table8[[#This Row],[Tijd]]),"",Table8[[#This Row],[Fouten]]+MAX(0,Table8[[#This Row],[Tijd]]-$F$2))),"-")</f>
        <v>Disk</v>
      </c>
      <c r="N13">
        <f>IFERROR(PRODUCT($F$4,1/Table8[[#This Row],[Tijd]]),0)</f>
        <v>0</v>
      </c>
      <c r="O13">
        <f>SUM(Table8[[#This Row],[W]],Table8[[#This Row],[A]],Table8[[#This Row],[F]])*5</f>
        <v>0</v>
      </c>
      <c r="P13" t="str">
        <f>TEXT(Table8[[#This Row],[Score]],"00,00")&amp;TEXT(Table8[[#This Row],[Fouten]],"00")&amp;TEXT(Table8[[#This Row],[Tijd]],"00,000")</f>
        <v>Disk0000,000</v>
      </c>
      <c r="Q13" t="str">
        <f>IF(IFERROR(VLOOKUP(Table8[[#This Row],[SNR]],Deelnemers[#Data],7,0),0)&lt;&gt;$C$4,"Loopt niet in deze groep!",IF(COUNTIF(Table8[SNR],Table8[[#This Row],[SNR]])&gt;1,"Dubbel",""))</f>
        <v/>
      </c>
    </row>
    <row r="14" spans="1:17" x14ac:dyDescent="0.2">
      <c r="A14">
        <f>IFERROR(VLOOKUP(Table8[[#This Row],[SNR]],Deelnemers[#Data],2,0),"")</f>
        <v>184160</v>
      </c>
      <c r="B14">
        <f>IF(VLOOKUP(Table8[[#This Row],[SNR]],Deelnemers[#Data],8,0)&gt;0,"BM",IF(Table8[[#This Row],[Score]]="Disk",0,MATCH(Table8[[#This Row],[Sorteren]],Table8[Sorteren],0)-COUNTIF($B$7:$B13,"BM")))</f>
        <v>0</v>
      </c>
      <c r="D14" t="str">
        <f>IFERROR(VLOOKUP(Table8[[#This Row],[SNR]],Deelnemers[#Data],3,0),"")</f>
        <v>Cathy Rubingh</v>
      </c>
      <c r="E14" t="str">
        <f>IFERROR(VLOOKUP(Table8[[#This Row],[SNR]],Deelnemers[#Data],4,0),"")</f>
        <v>Lilly</v>
      </c>
      <c r="F14" t="str">
        <f>IFERROR(VLOOKUP(Table8[[#This Row],[SNR]],Deelnemers[#Data],6,0),"")</f>
        <v>pomeranian</v>
      </c>
      <c r="G14" s="11">
        <v>112</v>
      </c>
      <c r="H14" s="11"/>
      <c r="I14" s="11"/>
      <c r="J14" s="11"/>
      <c r="K14" s="11"/>
      <c r="L14" s="11" t="s">
        <v>326</v>
      </c>
      <c r="M14" t="str">
        <f>IF(OR(ISNUMBER(SEARCH("Jumping", $C$5)),ISNUMBER(SEARCH("Vast Parcours", $C$5)), ISNUMBER(SEARCH("NKT", $C$5))),IF(OR(Table8[[#This Row],[Disk]]&gt;0,Table8[[#This Row],[W]]&gt;=3,Table8[[#This Row],[Tijd]]&gt;$F$3),"Disk",IF(ISBLANK(Table8[[#This Row],[Tijd]]),"",Table8[[#This Row],[Fouten]]+MAX(0,Table8[[#This Row],[Tijd]]-$F$2))),"-")</f>
        <v>Disk</v>
      </c>
      <c r="N14">
        <f>IFERROR(PRODUCT($F$4,1/Table8[[#This Row],[Tijd]]),0)</f>
        <v>0</v>
      </c>
      <c r="O14">
        <f>SUM(Table8[[#This Row],[W]],Table8[[#This Row],[A]],Table8[[#This Row],[F]])*5</f>
        <v>0</v>
      </c>
      <c r="P14" t="str">
        <f>TEXT(Table8[[#This Row],[Score]],"00,00")&amp;TEXT(Table8[[#This Row],[Fouten]],"00")&amp;TEXT(Table8[[#This Row],[Tijd]],"00,000")</f>
        <v>Disk0000,000</v>
      </c>
      <c r="Q14" t="str">
        <f>IF(IFERROR(VLOOKUP(Table8[[#This Row],[SNR]],Deelnemers[#Data],7,0),0)&lt;&gt;$C$4,"Loopt niet in deze groep!",IF(COUNTIF(Table8[SNR],Table8[[#This Row],[SNR]])&gt;1,"Dubbel",""))</f>
        <v/>
      </c>
    </row>
    <row r="15" spans="1:17" x14ac:dyDescent="0.2">
      <c r="A15">
        <f>IFERROR(VLOOKUP(Table8[[#This Row],[SNR]],Deelnemers[#Data],2,0),"")</f>
        <v>175315</v>
      </c>
      <c r="B15">
        <f>IF(VLOOKUP(Table8[[#This Row],[SNR]],Deelnemers[#Data],8,0)&gt;0,"BM",IF(Table8[[#This Row],[Score]]="Disk",0,MATCH(Table8[[#This Row],[Sorteren]],Table8[Sorteren],0)-COUNTIF($B$7:$B14,"BM")))</f>
        <v>0</v>
      </c>
      <c r="D15" t="str">
        <f>IFERROR(VLOOKUP(Table8[[#This Row],[SNR]],Deelnemers[#Data],3,0),"")</f>
        <v>Margreet Osinga-Ijpma</v>
      </c>
      <c r="E15" t="str">
        <f>IFERROR(VLOOKUP(Table8[[#This Row],[SNR]],Deelnemers[#Data],4,0),"")</f>
        <v>Olaf</v>
      </c>
      <c r="F15" t="str">
        <f>IFERROR(VLOOKUP(Table8[[#This Row],[SNR]],Deelnemers[#Data],6,0),"")</f>
        <v>Parson Russell Terriër</v>
      </c>
      <c r="G15" s="11">
        <v>113</v>
      </c>
      <c r="H15" s="11"/>
      <c r="I15" s="11"/>
      <c r="J15" s="11"/>
      <c r="K15" s="11"/>
      <c r="L15" s="11" t="s">
        <v>326</v>
      </c>
      <c r="M15" t="str">
        <f>IF(OR(ISNUMBER(SEARCH("Jumping", $C$5)),ISNUMBER(SEARCH("Vast Parcours", $C$5)), ISNUMBER(SEARCH("NKT", $C$5))),IF(OR(Table8[[#This Row],[Disk]]&gt;0,Table8[[#This Row],[W]]&gt;=3,Table8[[#This Row],[Tijd]]&gt;$F$3),"Disk",IF(ISBLANK(Table8[[#This Row],[Tijd]]),"",Table8[[#This Row],[Fouten]]+MAX(0,Table8[[#This Row],[Tijd]]-$F$2))),"-")</f>
        <v>Disk</v>
      </c>
      <c r="N15">
        <f>IFERROR(PRODUCT($F$4,1/Table8[[#This Row],[Tijd]]),0)</f>
        <v>0</v>
      </c>
      <c r="O15">
        <f>SUM(Table8[[#This Row],[W]],Table8[[#This Row],[A]],Table8[[#This Row],[F]])*5</f>
        <v>0</v>
      </c>
      <c r="P15" t="str">
        <f>TEXT(Table8[[#This Row],[Score]],"00,00")&amp;TEXT(Table8[[#This Row],[Fouten]],"00")&amp;TEXT(Table8[[#This Row],[Tijd]],"00,000")</f>
        <v>Disk0000,000</v>
      </c>
      <c r="Q15" t="str">
        <f>IF(IFERROR(VLOOKUP(Table8[[#This Row],[SNR]],Deelnemers[#Data],7,0),0)&lt;&gt;$C$4,"Loopt niet in deze groep!",IF(COUNTIF(Table8[SNR],Table8[[#This Row],[SNR]])&gt;1,"Dubbel",""))</f>
        <v/>
      </c>
    </row>
    <row r="16" spans="1:17" x14ac:dyDescent="0.2">
      <c r="A16">
        <f>IFERROR(VLOOKUP(Table8[[#This Row],[SNR]],Deelnemers[#Data],2,0),"")</f>
        <v>165409</v>
      </c>
      <c r="B16">
        <f>IF(VLOOKUP(Table8[[#This Row],[SNR]],Deelnemers[#Data],8,0)&gt;0,"BM",IF(Table8[[#This Row],[Score]]="Disk",0,MATCH(Table8[[#This Row],[Sorteren]],Table8[Sorteren],0)-COUNTIF($B$7:$B15,"BM")))</f>
        <v>0</v>
      </c>
      <c r="D16" t="str">
        <f>IFERROR(VLOOKUP(Table8[[#This Row],[SNR]],Deelnemers[#Data],3,0),"")</f>
        <v>Dimphy Penninkhof</v>
      </c>
      <c r="E16" t="str">
        <f>IFERROR(VLOOKUP(Table8[[#This Row],[SNR]],Deelnemers[#Data],4,0),"")</f>
        <v>Tommy</v>
      </c>
      <c r="F16" t="str">
        <f>IFERROR(VLOOKUP(Table8[[#This Row],[SNR]],Deelnemers[#Data],6,0),"")</f>
        <v>jack russell terrier</v>
      </c>
      <c r="G16" s="11">
        <v>116</v>
      </c>
      <c r="H16" s="11"/>
      <c r="I16" s="11"/>
      <c r="J16" s="11"/>
      <c r="K16" s="11"/>
      <c r="L16" s="11" t="s">
        <v>326</v>
      </c>
      <c r="M16" t="str">
        <f>IF(OR(ISNUMBER(SEARCH("Jumping", $C$5)),ISNUMBER(SEARCH("Vast Parcours", $C$5)), ISNUMBER(SEARCH("NKT", $C$5))),IF(OR(Table8[[#This Row],[Disk]]&gt;0,Table8[[#This Row],[W]]&gt;=3,Table8[[#This Row],[Tijd]]&gt;$F$3),"Disk",IF(ISBLANK(Table8[[#This Row],[Tijd]]),"",Table8[[#This Row],[Fouten]]+MAX(0,Table8[[#This Row],[Tijd]]-$F$2))),"-")</f>
        <v>Disk</v>
      </c>
      <c r="N16">
        <f>IFERROR(PRODUCT($F$4,1/Table8[[#This Row],[Tijd]]),0)</f>
        <v>0</v>
      </c>
      <c r="O16">
        <f>SUM(Table8[[#This Row],[W]],Table8[[#This Row],[A]],Table8[[#This Row],[F]])*5</f>
        <v>0</v>
      </c>
      <c r="P16" t="str">
        <f>TEXT(Table8[[#This Row],[Score]],"00,00")&amp;TEXT(Table8[[#This Row],[Fouten]],"00")&amp;TEXT(Table8[[#This Row],[Tijd]],"00,000")</f>
        <v>Disk0000,000</v>
      </c>
      <c r="Q16" t="str">
        <f>IF(IFERROR(VLOOKUP(Table8[[#This Row],[SNR]],Deelnemers[#Data],7,0),0)&lt;&gt;$C$4,"Loopt niet in deze groep!",IF(COUNTIF(Table8[SNR],Table8[[#This Row],[SNR]])&gt;1,"Dubbel",""))</f>
        <v/>
      </c>
    </row>
  </sheetData>
  <mergeCells count="7">
    <mergeCell ref="H2:N3"/>
    <mergeCell ref="H4:N5"/>
    <mergeCell ref="C1:D1"/>
    <mergeCell ref="C2:D2"/>
    <mergeCell ref="C3:D3"/>
    <mergeCell ref="C4:D4"/>
    <mergeCell ref="C5:D5"/>
  </mergeCells>
  <conditionalFormatting sqref="F1">
    <cfRule type="containsBlanks" dxfId="164" priority="2">
      <formula>LEN(TRIM(F1))=0</formula>
    </cfRule>
  </conditionalFormatting>
  <conditionalFormatting sqref="F2:F4">
    <cfRule type="containsBlanks" dxfId="0" priority="1">
      <formula>LEN(TRIM(F2))=0</formula>
    </cfRule>
  </conditionalFormatting>
  <dataValidations count="2">
    <dataValidation type="list" allowBlank="1" showInputMessage="1" showErrorMessage="1" sqref="C4" xr:uid="{00000000-0002-0000-0800-000000000000}">
      <formula1>GroepLijst</formula1>
    </dataValidation>
    <dataValidation type="list" allowBlank="1" showInputMessage="1" showErrorMessage="1" sqref="F1" xr:uid="{08E9576E-39F6-2448-BE91-8E0B426C0B56}">
      <formula1>KeurmeesterLijst</formula1>
    </dataValidation>
  </dataValidations>
  <pageMargins left="0.7" right="0.7" top="0.75" bottom="0.75" header="0.3" footer="0.3"/>
  <pageSetup paperSize="9" scale="57" fitToHeight="0" orientation="portrait" copies="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29</vt:i4>
      </vt:variant>
      <vt:variant>
        <vt:lpstr>Benoemde bereiken</vt:lpstr>
      </vt:variant>
      <vt:variant>
        <vt:i4>54</vt:i4>
      </vt:variant>
    </vt:vector>
  </HeadingPairs>
  <TitlesOfParts>
    <vt:vector size="83" baseType="lpstr">
      <vt:lpstr>Lijsten</vt:lpstr>
      <vt:lpstr>Deelnemers</vt:lpstr>
      <vt:lpstr>1L - J</vt:lpstr>
      <vt:lpstr>1L - VP1</vt:lpstr>
      <vt:lpstr>1L - VP2</vt:lpstr>
      <vt:lpstr>1M - J</vt:lpstr>
      <vt:lpstr>1M - VP1</vt:lpstr>
      <vt:lpstr>1M - VP2</vt:lpstr>
      <vt:lpstr>1S - J</vt:lpstr>
      <vt:lpstr>1S - VP1</vt:lpstr>
      <vt:lpstr>1S - VP2</vt:lpstr>
      <vt:lpstr>2L - J</vt:lpstr>
      <vt:lpstr>2L - VP1</vt:lpstr>
      <vt:lpstr>2L - VP2</vt:lpstr>
      <vt:lpstr>2M - J</vt:lpstr>
      <vt:lpstr>2M - VP1</vt:lpstr>
      <vt:lpstr>2M - VP2</vt:lpstr>
      <vt:lpstr>2S - J</vt:lpstr>
      <vt:lpstr>2S - VP1</vt:lpstr>
      <vt:lpstr>2S - VP2</vt:lpstr>
      <vt:lpstr>3L - J</vt:lpstr>
      <vt:lpstr>3L - VP1</vt:lpstr>
      <vt:lpstr>3L - VP2</vt:lpstr>
      <vt:lpstr>3M - J</vt:lpstr>
      <vt:lpstr>3M - VP1</vt:lpstr>
      <vt:lpstr>3M - VP2</vt:lpstr>
      <vt:lpstr>3S - J</vt:lpstr>
      <vt:lpstr>3S - VP1</vt:lpstr>
      <vt:lpstr>3S - VP2</vt:lpstr>
      <vt:lpstr>'1L - J'!Afdrukbereik</vt:lpstr>
      <vt:lpstr>'1L - VP1'!Afdrukbereik</vt:lpstr>
      <vt:lpstr>'1L - VP2'!Afdrukbereik</vt:lpstr>
      <vt:lpstr>'1M - J'!Afdrukbereik</vt:lpstr>
      <vt:lpstr>'1M - VP1'!Afdrukbereik</vt:lpstr>
      <vt:lpstr>'1M - VP2'!Afdrukbereik</vt:lpstr>
      <vt:lpstr>'1S - J'!Afdrukbereik</vt:lpstr>
      <vt:lpstr>'1S - VP1'!Afdrukbereik</vt:lpstr>
      <vt:lpstr>'1S - VP2'!Afdrukbereik</vt:lpstr>
      <vt:lpstr>'2L - J'!Afdrukbereik</vt:lpstr>
      <vt:lpstr>'2L - VP1'!Afdrukbereik</vt:lpstr>
      <vt:lpstr>'2L - VP2'!Afdrukbereik</vt:lpstr>
      <vt:lpstr>'2M - J'!Afdrukbereik</vt:lpstr>
      <vt:lpstr>'2M - VP1'!Afdrukbereik</vt:lpstr>
      <vt:lpstr>'2M - VP2'!Afdrukbereik</vt:lpstr>
      <vt:lpstr>'2S - J'!Afdrukbereik</vt:lpstr>
      <vt:lpstr>'2S - VP1'!Afdrukbereik</vt:lpstr>
      <vt:lpstr>'2S - VP2'!Afdrukbereik</vt:lpstr>
      <vt:lpstr>'3L - J'!Afdrukbereik</vt:lpstr>
      <vt:lpstr>'3L - VP1'!Afdrukbereik</vt:lpstr>
      <vt:lpstr>'3L - VP2'!Afdrukbereik</vt:lpstr>
      <vt:lpstr>'3M - J'!Afdrukbereik</vt:lpstr>
      <vt:lpstr>'3M - VP1'!Afdrukbereik</vt:lpstr>
      <vt:lpstr>'3M - VP2'!Afdrukbereik</vt:lpstr>
      <vt:lpstr>'3S - J'!Afdrukbereik</vt:lpstr>
      <vt:lpstr>'3S - VP1'!Afdrukbereik</vt:lpstr>
      <vt:lpstr>'3S - VP2'!Afdrukbereik</vt:lpstr>
      <vt:lpstr>'1L - J'!Afdruktitels</vt:lpstr>
      <vt:lpstr>'1L - VP1'!Afdruktitels</vt:lpstr>
      <vt:lpstr>'1L - VP2'!Afdruktitels</vt:lpstr>
      <vt:lpstr>'1M - J'!Afdruktitels</vt:lpstr>
      <vt:lpstr>'1M - VP1'!Afdruktitels</vt:lpstr>
      <vt:lpstr>'1M - VP2'!Afdruktitels</vt:lpstr>
      <vt:lpstr>'1S - J'!Afdruktitels</vt:lpstr>
      <vt:lpstr>'1S - VP1'!Afdruktitels</vt:lpstr>
      <vt:lpstr>'1S - VP2'!Afdruktitels</vt:lpstr>
      <vt:lpstr>'2L - J'!Afdruktitels</vt:lpstr>
      <vt:lpstr>'2L - VP1'!Afdruktitels</vt:lpstr>
      <vt:lpstr>'2L - VP2'!Afdruktitels</vt:lpstr>
      <vt:lpstr>'2M - J'!Afdruktitels</vt:lpstr>
      <vt:lpstr>'2M - VP1'!Afdruktitels</vt:lpstr>
      <vt:lpstr>'2M - VP2'!Afdruktitels</vt:lpstr>
      <vt:lpstr>'2S - J'!Afdruktitels</vt:lpstr>
      <vt:lpstr>'2S - VP1'!Afdruktitels</vt:lpstr>
      <vt:lpstr>'2S - VP2'!Afdruktitels</vt:lpstr>
      <vt:lpstr>'3L - J'!Afdruktitels</vt:lpstr>
      <vt:lpstr>'3L - VP1'!Afdruktitels</vt:lpstr>
      <vt:lpstr>'3L - VP2'!Afdruktitels</vt:lpstr>
      <vt:lpstr>'3M - J'!Afdruktitels</vt:lpstr>
      <vt:lpstr>'3M - VP1'!Afdruktitels</vt:lpstr>
      <vt:lpstr>'3M - VP2'!Afdruktitels</vt:lpstr>
      <vt:lpstr>'3S - J'!Afdruktitels</vt:lpstr>
      <vt:lpstr>'3S - VP1'!Afdruktitels</vt:lpstr>
      <vt:lpstr>'3S - VP2'!Afdruktitels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K.C. Hoogeveen – Promotiewedstrijd voor graad 1, 2 en 3.</dc:title>
  <dc:creator>Raad van Beheer</dc:creator>
  <cp:lastModifiedBy>Bianca Jansen</cp:lastModifiedBy>
  <cp:lastPrinted>2019-01-27T17:14:46Z</cp:lastPrinted>
  <dcterms:created xsi:type="dcterms:W3CDTF">2019-01-25T20:59:55Z</dcterms:created>
  <dcterms:modified xsi:type="dcterms:W3CDTF">2019-01-27T17:26:28Z</dcterms:modified>
</cp:coreProperties>
</file>